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ttore Stipendi\Ufficio Stipendi\TABELLE STIPENDIALI PTA E DOCENTI\tabelle in vigore\tabelle in vigore nel 2023\"/>
    </mc:Choice>
  </mc:AlternateContent>
  <xr:revisionPtr revIDLastSave="0" documentId="13_ncr:1_{39192BE7-8805-4BE5-B060-C5211737E79E}" xr6:coauthVersionLast="36" xr6:coauthVersionMax="47" xr10:uidLastSave="{00000000-0000-0000-0000-000000000000}"/>
  <bookViews>
    <workbookView xWindow="0" yWindow="0" windowWidth="28800" windowHeight="11630" tabRatio="728" activeTab="2" xr2:uid="{00000000-000D-0000-FFFF-FFFF00000000}"/>
  </bookViews>
  <sheets>
    <sheet name="PTA t. indeterminato" sheetId="22" r:id="rId1"/>
    <sheet name="PTA t. determinato" sheetId="4" r:id="rId2"/>
    <sheet name="NG" sheetId="11" r:id="rId3"/>
    <sheet name="CEL" sheetId="6" r:id="rId4"/>
    <sheet name="dirigente t.ind-t.det" sheetId="14" r:id="rId5"/>
    <sheet name="Tecnologi" sheetId="21" r:id="rId6"/>
    <sheet name="docenti L. 240" sheetId="16" r:id="rId7"/>
    <sheet name="docenti DPR232" sheetId="18" r:id="rId8"/>
    <sheet name="RD ricercatori td" sheetId="20" r:id="rId9"/>
  </sheets>
  <definedNames>
    <definedName name="_xlnm._FilterDatabase" localSheetId="6" hidden="1">'docenti L. 240'!$A$1:$T$31</definedName>
  </definedNames>
  <calcPr calcId="191029"/>
</workbook>
</file>

<file path=xl/calcChain.xml><?xml version="1.0" encoding="utf-8"?>
<calcChain xmlns="http://schemas.openxmlformats.org/spreadsheetml/2006/main">
  <c r="G8" i="11" l="1"/>
  <c r="F8" i="11"/>
  <c r="M8" i="11" s="1"/>
  <c r="D8" i="11"/>
  <c r="K8" i="11" l="1"/>
  <c r="N8" i="11"/>
  <c r="L8" i="11"/>
  <c r="P8" i="11" s="1"/>
  <c r="Q8" i="11" s="1"/>
  <c r="O6" i="14"/>
  <c r="O5" i="14"/>
  <c r="N7" i="11"/>
  <c r="O6" i="11"/>
  <c r="L7" i="11"/>
  <c r="L6" i="11"/>
  <c r="O8" i="11" l="1"/>
  <c r="M7" i="11"/>
  <c r="O7" i="11" s="1"/>
  <c r="P7" i="11" l="1"/>
  <c r="Q7" i="11" s="1"/>
  <c r="J9" i="11"/>
  <c r="G9" i="11"/>
  <c r="F9" i="11"/>
  <c r="D9" i="11"/>
  <c r="M9" i="11" l="1"/>
  <c r="K9" i="11"/>
  <c r="L9" i="11" l="1"/>
  <c r="O9" i="11"/>
  <c r="N9" i="11"/>
  <c r="P9" i="11" s="1"/>
  <c r="Q9" i="11" s="1"/>
  <c r="J35" i="22"/>
  <c r="F35" i="22"/>
  <c r="M35" i="22" s="1"/>
  <c r="D35" i="22"/>
  <c r="K35" i="22" s="1"/>
  <c r="J34" i="22"/>
  <c r="F34" i="22"/>
  <c r="M34" i="22" s="1"/>
  <c r="D34" i="22"/>
  <c r="K34" i="22" s="1"/>
  <c r="N34" i="22" s="1"/>
  <c r="J33" i="22"/>
  <c r="F33" i="22"/>
  <c r="D33" i="22"/>
  <c r="J32" i="22"/>
  <c r="F32" i="22"/>
  <c r="D32" i="22"/>
  <c r="K32" i="22" s="1"/>
  <c r="N32" i="22" s="1"/>
  <c r="J31" i="22"/>
  <c r="F31" i="22"/>
  <c r="K31" i="22" s="1"/>
  <c r="D31" i="22"/>
  <c r="J30" i="22"/>
  <c r="F30" i="22"/>
  <c r="D30" i="22"/>
  <c r="K30" i="22" s="1"/>
  <c r="N30" i="22" s="1"/>
  <c r="J29" i="22"/>
  <c r="F29" i="22"/>
  <c r="D29" i="22"/>
  <c r="J28" i="22"/>
  <c r="G28" i="22"/>
  <c r="F28" i="22"/>
  <c r="D28" i="22"/>
  <c r="G27" i="22"/>
  <c r="F27" i="22"/>
  <c r="M27" i="22" s="1"/>
  <c r="D27" i="22"/>
  <c r="G26" i="22"/>
  <c r="F26" i="22"/>
  <c r="D26" i="22"/>
  <c r="G25" i="22"/>
  <c r="F25" i="22"/>
  <c r="D25" i="22"/>
  <c r="K25" i="22" s="1"/>
  <c r="G24" i="22"/>
  <c r="F24" i="22"/>
  <c r="D24" i="22"/>
  <c r="K24" i="22" s="1"/>
  <c r="G23" i="22"/>
  <c r="F23" i="22"/>
  <c r="M23" i="22" s="1"/>
  <c r="D23" i="22"/>
  <c r="K23" i="22" s="1"/>
  <c r="G22" i="22"/>
  <c r="F22" i="22"/>
  <c r="D22" i="22"/>
  <c r="K22" i="22" s="1"/>
  <c r="G21" i="22"/>
  <c r="F21" i="22"/>
  <c r="M21" i="22" s="1"/>
  <c r="D21" i="22"/>
  <c r="G20" i="22"/>
  <c r="F20" i="22"/>
  <c r="D20" i="22"/>
  <c r="F19" i="22"/>
  <c r="D19" i="22"/>
  <c r="C19" i="22"/>
  <c r="F18" i="22"/>
  <c r="K18" i="22" s="1"/>
  <c r="D18" i="22"/>
  <c r="F17" i="22"/>
  <c r="D17" i="22"/>
  <c r="M17" i="22" s="1"/>
  <c r="F16" i="22"/>
  <c r="D16" i="22"/>
  <c r="K16" i="22" s="1"/>
  <c r="F15" i="22"/>
  <c r="D15" i="22"/>
  <c r="K15" i="22" s="1"/>
  <c r="N15" i="22" s="1"/>
  <c r="F14" i="22"/>
  <c r="D14" i="22"/>
  <c r="F13" i="22"/>
  <c r="D13" i="22"/>
  <c r="K13" i="22" s="1"/>
  <c r="F12" i="22"/>
  <c r="M12" i="22" s="1"/>
  <c r="D12" i="22"/>
  <c r="K11" i="22"/>
  <c r="N11" i="22" s="1"/>
  <c r="F11" i="22"/>
  <c r="D11" i="22"/>
  <c r="F10" i="22"/>
  <c r="K10" i="22" s="1"/>
  <c r="D10" i="22"/>
  <c r="F9" i="22"/>
  <c r="M9" i="22" s="1"/>
  <c r="D9" i="22"/>
  <c r="F8" i="22"/>
  <c r="M8" i="22" s="1"/>
  <c r="D8" i="22"/>
  <c r="F7" i="22"/>
  <c r="K7" i="22" s="1"/>
  <c r="N7" i="22" s="1"/>
  <c r="D7" i="22"/>
  <c r="F6" i="22"/>
  <c r="D6" i="22"/>
  <c r="G5" i="22"/>
  <c r="M5" i="22" s="1"/>
  <c r="F5" i="22"/>
  <c r="D5" i="22"/>
  <c r="K9" i="22" l="1"/>
  <c r="K12" i="22"/>
  <c r="M15" i="22"/>
  <c r="M19" i="22"/>
  <c r="M24" i="22"/>
  <c r="K27" i="22"/>
  <c r="K29" i="22"/>
  <c r="N29" i="22" s="1"/>
  <c r="M22" i="22"/>
  <c r="O22" i="22" s="1"/>
  <c r="M32" i="22"/>
  <c r="M7" i="22"/>
  <c r="M16" i="22"/>
  <c r="K20" i="22"/>
  <c r="M25" i="22"/>
  <c r="M30" i="22"/>
  <c r="M13" i="22"/>
  <c r="M20" i="22"/>
  <c r="M28" i="22"/>
  <c r="K5" i="22"/>
  <c r="M11" i="22"/>
  <c r="K26" i="22"/>
  <c r="N26" i="22" s="1"/>
  <c r="K6" i="22"/>
  <c r="K8" i="22"/>
  <c r="L8" i="22" s="1"/>
  <c r="O8" i="22" s="1"/>
  <c r="K14" i="22"/>
  <c r="L14" i="22" s="1"/>
  <c r="K21" i="22"/>
  <c r="L21" i="22" s="1"/>
  <c r="O21" i="22" s="1"/>
  <c r="M26" i="22"/>
  <c r="K33" i="22"/>
  <c r="L9" i="22"/>
  <c r="O9" i="22" s="1"/>
  <c r="N9" i="22"/>
  <c r="P9" i="22" s="1"/>
  <c r="Q9" i="22" s="1"/>
  <c r="N10" i="22"/>
  <c r="L10" i="22"/>
  <c r="N12" i="22"/>
  <c r="L12" i="22"/>
  <c r="O15" i="22"/>
  <c r="L23" i="22"/>
  <c r="O23" i="22" s="1"/>
  <c r="N23" i="22"/>
  <c r="L27" i="22"/>
  <c r="O27" i="22" s="1"/>
  <c r="N27" i="22"/>
  <c r="P27" i="22" s="1"/>
  <c r="Q27" i="22" s="1"/>
  <c r="L29" i="22"/>
  <c r="L35" i="22"/>
  <c r="N35" i="22"/>
  <c r="N20" i="22"/>
  <c r="L20" i="22"/>
  <c r="L31" i="22"/>
  <c r="N31" i="22"/>
  <c r="N22" i="22"/>
  <c r="P22" i="22" s="1"/>
  <c r="Q22" i="22" s="1"/>
  <c r="L22" i="22"/>
  <c r="L26" i="22"/>
  <c r="O26" i="22" s="1"/>
  <c r="O35" i="22"/>
  <c r="N18" i="22"/>
  <c r="L18" i="22"/>
  <c r="N24" i="22"/>
  <c r="L24" i="22"/>
  <c r="L5" i="22"/>
  <c r="O5" i="22" s="1"/>
  <c r="N5" i="22"/>
  <c r="P5" i="22" s="1"/>
  <c r="Q5" i="22" s="1"/>
  <c r="O12" i="22"/>
  <c r="N6" i="22"/>
  <c r="L6" i="22"/>
  <c r="N8" i="22"/>
  <c r="L13" i="22"/>
  <c r="N13" i="22"/>
  <c r="L16" i="22"/>
  <c r="O16" i="22" s="1"/>
  <c r="N16" i="22"/>
  <c r="L25" i="22"/>
  <c r="N25" i="22"/>
  <c r="P25" i="22" s="1"/>
  <c r="Q25" i="22" s="1"/>
  <c r="O32" i="22"/>
  <c r="L33" i="22"/>
  <c r="N33" i="22"/>
  <c r="P33" i="22" s="1"/>
  <c r="Q33" i="22" s="1"/>
  <c r="K28" i="22"/>
  <c r="L28" i="22" s="1"/>
  <c r="M29" i="22"/>
  <c r="M33" i="22"/>
  <c r="M6" i="22"/>
  <c r="L7" i="22"/>
  <c r="O7" i="22" s="1"/>
  <c r="M10" i="22"/>
  <c r="L11" i="22"/>
  <c r="P11" i="22" s="1"/>
  <c r="Q11" i="22" s="1"/>
  <c r="M14" i="22"/>
  <c r="L15" i="22"/>
  <c r="P15" i="22" s="1"/>
  <c r="Q15" i="22" s="1"/>
  <c r="M18" i="22"/>
  <c r="K19" i="22"/>
  <c r="L30" i="22"/>
  <c r="L32" i="22"/>
  <c r="P32" i="22" s="1"/>
  <c r="Q32" i="22" s="1"/>
  <c r="L34" i="22"/>
  <c r="P34" i="22" s="1"/>
  <c r="Q34" i="22" s="1"/>
  <c r="M31" i="22"/>
  <c r="O31" i="22" s="1"/>
  <c r="K17" i="22"/>
  <c r="P31" i="22" l="1"/>
  <c r="Q31" i="22" s="1"/>
  <c r="N14" i="22"/>
  <c r="O20" i="22"/>
  <c r="O30" i="22"/>
  <c r="O33" i="22"/>
  <c r="O10" i="22"/>
  <c r="O25" i="22"/>
  <c r="O13" i="22"/>
  <c r="O29" i="22"/>
  <c r="N21" i="22"/>
  <c r="P21" i="22" s="1"/>
  <c r="Q21" i="22" s="1"/>
  <c r="O24" i="22"/>
  <c r="O14" i="22"/>
  <c r="O18" i="22"/>
  <c r="N28" i="22"/>
  <c r="O28" i="22"/>
  <c r="P6" i="22"/>
  <c r="Q6" i="22" s="1"/>
  <c r="O34" i="22"/>
  <c r="P26" i="22"/>
  <c r="Q26" i="22" s="1"/>
  <c r="P20" i="22"/>
  <c r="Q20" i="22" s="1"/>
  <c r="P10" i="22"/>
  <c r="Q10" i="22" s="1"/>
  <c r="L17" i="22"/>
  <c r="O17" i="22" s="1"/>
  <c r="N17" i="22"/>
  <c r="O6" i="22"/>
  <c r="P14" i="22"/>
  <c r="Q14" i="22" s="1"/>
  <c r="P18" i="22"/>
  <c r="Q18" i="22" s="1"/>
  <c r="P30" i="22"/>
  <c r="Q30" i="22" s="1"/>
  <c r="O11" i="22"/>
  <c r="P29" i="22"/>
  <c r="Q29" i="22" s="1"/>
  <c r="L19" i="22"/>
  <c r="O19" i="22" s="1"/>
  <c r="N19" i="22"/>
  <c r="P16" i="22"/>
  <c r="Q16" i="22" s="1"/>
  <c r="P13" i="22"/>
  <c r="Q13" i="22" s="1"/>
  <c r="P8" i="22"/>
  <c r="Q8" i="22" s="1"/>
  <c r="P7" i="22"/>
  <c r="Q7" i="22" s="1"/>
  <c r="P24" i="22"/>
  <c r="Q24" i="22" s="1"/>
  <c r="P35" i="22"/>
  <c r="Q35" i="22" s="1"/>
  <c r="P23" i="22"/>
  <c r="Q23" i="22" s="1"/>
  <c r="P12" i="22"/>
  <c r="Q12" i="22" s="1"/>
  <c r="P19" i="22" l="1"/>
  <c r="Q19" i="22" s="1"/>
  <c r="P17" i="22"/>
  <c r="Q17" i="22" s="1"/>
  <c r="P28" i="22"/>
  <c r="Q28" i="22" s="1"/>
  <c r="P168" i="18" l="1"/>
  <c r="P169" i="18"/>
  <c r="P170" i="18"/>
  <c r="P171" i="18"/>
  <c r="P172" i="18"/>
  <c r="P173" i="18"/>
  <c r="P174" i="18"/>
  <c r="P175" i="18"/>
  <c r="P176" i="18"/>
  <c r="P177" i="18"/>
  <c r="P178" i="18"/>
  <c r="P179" i="18"/>
  <c r="P180" i="18"/>
  <c r="P181" i="18"/>
  <c r="E7" i="21" l="1"/>
  <c r="D7" i="21"/>
  <c r="C7" i="21" s="1"/>
  <c r="E6" i="21"/>
  <c r="D6" i="21"/>
  <c r="C6" i="21" s="1"/>
  <c r="F6" i="21" s="1"/>
  <c r="G6" i="21" s="1"/>
  <c r="F7" i="21" l="1"/>
  <c r="G7" i="21" s="1"/>
  <c r="E5" i="6"/>
  <c r="E4" i="6"/>
  <c r="E6" i="6"/>
  <c r="D5" i="6"/>
  <c r="D6" i="6"/>
  <c r="D7" i="6"/>
  <c r="D4" i="6"/>
  <c r="E7" i="6"/>
  <c r="G6" i="11"/>
  <c r="F6" i="11"/>
  <c r="D6" i="11"/>
  <c r="K6" i="11" s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6" i="4"/>
  <c r="N6" i="11" l="1"/>
  <c r="M6" i="11"/>
  <c r="E23" i="4"/>
  <c r="N23" i="4" s="1"/>
  <c r="E22" i="4"/>
  <c r="N22" i="4" s="1"/>
  <c r="E21" i="4"/>
  <c r="N21" i="4" s="1"/>
  <c r="E20" i="4"/>
  <c r="N20" i="4" s="1"/>
  <c r="E19" i="4"/>
  <c r="N19" i="4" s="1"/>
  <c r="E18" i="4"/>
  <c r="N18" i="4" s="1"/>
  <c r="E17" i="4"/>
  <c r="N17" i="4" s="1"/>
  <c r="E16" i="4"/>
  <c r="N16" i="4" s="1"/>
  <c r="E15" i="4"/>
  <c r="N15" i="4" s="1"/>
  <c r="E14" i="4"/>
  <c r="N14" i="4" s="1"/>
  <c r="E13" i="4"/>
  <c r="N13" i="4" s="1"/>
  <c r="E12" i="4"/>
  <c r="N12" i="4" s="1"/>
  <c r="E11" i="4"/>
  <c r="N11" i="4" s="1"/>
  <c r="E10" i="4"/>
  <c r="N10" i="4" s="1"/>
  <c r="E9" i="4"/>
  <c r="N9" i="4" s="1"/>
  <c r="E8" i="4"/>
  <c r="N8" i="4" s="1"/>
  <c r="E7" i="4"/>
  <c r="N7" i="4" s="1"/>
  <c r="E6" i="4"/>
  <c r="P6" i="11" l="1"/>
  <c r="Q6" i="11" s="1"/>
  <c r="K6" i="4"/>
  <c r="N6" i="4"/>
  <c r="M6" i="4" l="1"/>
  <c r="L6" i="4"/>
  <c r="O6" i="4"/>
  <c r="G14" i="20"/>
  <c r="F14" i="20"/>
  <c r="G13" i="20"/>
  <c r="F13" i="20"/>
  <c r="L13" i="20" s="1"/>
  <c r="G12" i="20"/>
  <c r="H12" i="20" s="1"/>
  <c r="K12" i="20" s="1"/>
  <c r="F12" i="20"/>
  <c r="G11" i="20"/>
  <c r="F11" i="20"/>
  <c r="H11" i="20" s="1"/>
  <c r="G10" i="20"/>
  <c r="F10" i="20"/>
  <c r="G9" i="20"/>
  <c r="F9" i="20"/>
  <c r="G7" i="20"/>
  <c r="F7" i="20"/>
  <c r="G6" i="20"/>
  <c r="F6" i="20"/>
  <c r="L6" i="20" s="1"/>
  <c r="H13" i="20" l="1"/>
  <c r="H7" i="20"/>
  <c r="L14" i="20"/>
  <c r="H9" i="20"/>
  <c r="N9" i="20" s="1"/>
  <c r="H6" i="20"/>
  <c r="I6" i="20" s="1"/>
  <c r="H10" i="20"/>
  <c r="I10" i="20" s="1"/>
  <c r="L12" i="20"/>
  <c r="P6" i="4"/>
  <c r="C6" i="4" s="1"/>
  <c r="Q6" i="4" s="1"/>
  <c r="K13" i="20"/>
  <c r="N13" i="20"/>
  <c r="I13" i="20"/>
  <c r="K7" i="20"/>
  <c r="N7" i="20"/>
  <c r="I7" i="20"/>
  <c r="N11" i="20"/>
  <c r="K11" i="20"/>
  <c r="I11" i="20"/>
  <c r="K9" i="20"/>
  <c r="L9" i="20"/>
  <c r="L10" i="20"/>
  <c r="I12" i="20"/>
  <c r="N12" i="20"/>
  <c r="L7" i="20"/>
  <c r="L11" i="20"/>
  <c r="H14" i="20"/>
  <c r="K6" i="20" l="1"/>
  <c r="N6" i="20"/>
  <c r="I9" i="20"/>
  <c r="M11" i="20"/>
  <c r="B11" i="20" s="1"/>
  <c r="O11" i="20" s="1"/>
  <c r="M12" i="20"/>
  <c r="B12" i="20" s="1"/>
  <c r="O12" i="20" s="1"/>
  <c r="M13" i="20"/>
  <c r="B13" i="20" s="1"/>
  <c r="O13" i="20" s="1"/>
  <c r="K10" i="20"/>
  <c r="M10" i="20" s="1"/>
  <c r="B10" i="20" s="1"/>
  <c r="O10" i="20" s="1"/>
  <c r="N10" i="20"/>
  <c r="M7" i="20"/>
  <c r="B7" i="20" s="1"/>
  <c r="O7" i="20" s="1"/>
  <c r="N14" i="20"/>
  <c r="I14" i="20"/>
  <c r="K14" i="20"/>
  <c r="M9" i="20"/>
  <c r="B9" i="20" s="1"/>
  <c r="O9" i="20" s="1"/>
  <c r="J6" i="20"/>
  <c r="M6" i="20" s="1"/>
  <c r="B6" i="20" s="1"/>
  <c r="O6" i="20" s="1"/>
  <c r="J20" i="4"/>
  <c r="K20" i="4" s="1"/>
  <c r="J21" i="4"/>
  <c r="K21" i="4" s="1"/>
  <c r="J22" i="4"/>
  <c r="J23" i="4"/>
  <c r="K23" i="4" s="1"/>
  <c r="J19" i="4"/>
  <c r="K19" i="4" s="1"/>
  <c r="K14" i="4"/>
  <c r="K18" i="4"/>
  <c r="K22" i="4"/>
  <c r="K7" i="4"/>
  <c r="K8" i="4"/>
  <c r="K15" i="4"/>
  <c r="K16" i="4"/>
  <c r="K17" i="4"/>
  <c r="I39" i="18"/>
  <c r="H39" i="18"/>
  <c r="B28" i="20" l="1"/>
  <c r="B29" i="20" s="1"/>
  <c r="M22" i="4"/>
  <c r="O22" i="4"/>
  <c r="L22" i="4"/>
  <c r="O15" i="4"/>
  <c r="L15" i="4"/>
  <c r="M15" i="4"/>
  <c r="M21" i="4"/>
  <c r="O21" i="4"/>
  <c r="L21" i="4"/>
  <c r="O23" i="4"/>
  <c r="L23" i="4"/>
  <c r="M23" i="4"/>
  <c r="O16" i="4"/>
  <c r="L16" i="4"/>
  <c r="M16" i="4"/>
  <c r="P16" i="4" s="1"/>
  <c r="L8" i="4"/>
  <c r="O8" i="4"/>
  <c r="M8" i="4"/>
  <c r="M18" i="4"/>
  <c r="L18" i="4"/>
  <c r="O18" i="4"/>
  <c r="L20" i="4"/>
  <c r="O20" i="4"/>
  <c r="M20" i="4"/>
  <c r="O19" i="4"/>
  <c r="L19" i="4"/>
  <c r="M19" i="4"/>
  <c r="P19" i="4" s="1"/>
  <c r="M17" i="4"/>
  <c r="O17" i="4"/>
  <c r="L17" i="4"/>
  <c r="O7" i="4"/>
  <c r="L7" i="4"/>
  <c r="M7" i="4"/>
  <c r="L14" i="4"/>
  <c r="M14" i="4"/>
  <c r="O14" i="4"/>
  <c r="J14" i="20"/>
  <c r="M14" i="20" s="1"/>
  <c r="B14" i="20" s="1"/>
  <c r="O14" i="20" s="1"/>
  <c r="J39" i="18"/>
  <c r="K39" i="18" s="1"/>
  <c r="M39" i="18"/>
  <c r="P23" i="4" l="1"/>
  <c r="P18" i="4"/>
  <c r="P17" i="4"/>
  <c r="P20" i="4"/>
  <c r="E19" i="20"/>
  <c r="P22" i="4"/>
  <c r="P14" i="4"/>
  <c r="P21" i="4"/>
  <c r="P8" i="4"/>
  <c r="P15" i="4"/>
  <c r="P7" i="4"/>
  <c r="L39" i="18"/>
  <c r="N39" i="18" s="1"/>
  <c r="O39" i="18" s="1"/>
  <c r="P39" i="18" s="1"/>
  <c r="E23" i="20" l="1"/>
  <c r="E25" i="20"/>
  <c r="I167" i="18" l="1"/>
  <c r="H167" i="18"/>
  <c r="I166" i="18"/>
  <c r="H166" i="18"/>
  <c r="I165" i="18"/>
  <c r="H165" i="18"/>
  <c r="I164" i="18"/>
  <c r="H164" i="18"/>
  <c r="I163" i="18"/>
  <c r="H163" i="18"/>
  <c r="I162" i="18"/>
  <c r="H162" i="18"/>
  <c r="I161" i="18"/>
  <c r="H161" i="18"/>
  <c r="I160" i="18"/>
  <c r="H160" i="18"/>
  <c r="I159" i="18"/>
  <c r="H159" i="18"/>
  <c r="I158" i="18"/>
  <c r="H158" i="18"/>
  <c r="I157" i="18"/>
  <c r="H157" i="18"/>
  <c r="I156" i="18"/>
  <c r="H156" i="18"/>
  <c r="I155" i="18"/>
  <c r="H155" i="18"/>
  <c r="I154" i="18"/>
  <c r="H154" i="18"/>
  <c r="I153" i="18"/>
  <c r="H153" i="18"/>
  <c r="I151" i="18"/>
  <c r="H151" i="18"/>
  <c r="I150" i="18"/>
  <c r="H150" i="18"/>
  <c r="I149" i="18"/>
  <c r="H149" i="18"/>
  <c r="I148" i="18"/>
  <c r="H148" i="18"/>
  <c r="I147" i="18"/>
  <c r="H147" i="18"/>
  <c r="I146" i="18"/>
  <c r="H146" i="18"/>
  <c r="I145" i="18"/>
  <c r="H145" i="18"/>
  <c r="I144" i="18"/>
  <c r="H144" i="18"/>
  <c r="I143" i="18"/>
  <c r="H143" i="18"/>
  <c r="I142" i="18"/>
  <c r="H142" i="18"/>
  <c r="I141" i="18"/>
  <c r="H141" i="18"/>
  <c r="I140" i="18"/>
  <c r="H140" i="18"/>
  <c r="I139" i="18"/>
  <c r="H139" i="18"/>
  <c r="I138" i="18"/>
  <c r="H138" i="18"/>
  <c r="I137" i="18"/>
  <c r="H137" i="18"/>
  <c r="I136" i="18"/>
  <c r="H136" i="18"/>
  <c r="I135" i="18"/>
  <c r="H135" i="18"/>
  <c r="I134" i="18"/>
  <c r="H134" i="18"/>
  <c r="I133" i="18"/>
  <c r="H133" i="18"/>
  <c r="I132" i="18"/>
  <c r="H132" i="18"/>
  <c r="M132" i="18" s="1"/>
  <c r="I131" i="18"/>
  <c r="H131" i="18"/>
  <c r="I130" i="18"/>
  <c r="H130" i="18"/>
  <c r="I129" i="18"/>
  <c r="H129" i="18"/>
  <c r="I128" i="18"/>
  <c r="H128" i="18"/>
  <c r="M128" i="18" s="1"/>
  <c r="I127" i="18"/>
  <c r="H127" i="18"/>
  <c r="I126" i="18"/>
  <c r="H126" i="18"/>
  <c r="I125" i="18"/>
  <c r="H125" i="18"/>
  <c r="I124" i="18"/>
  <c r="H124" i="18"/>
  <c r="I122" i="18"/>
  <c r="H122" i="18"/>
  <c r="I121" i="18"/>
  <c r="H121" i="18"/>
  <c r="J121" i="18" s="1"/>
  <c r="I120" i="18"/>
  <c r="H120" i="18"/>
  <c r="I119" i="18"/>
  <c r="H119" i="18"/>
  <c r="I118" i="18"/>
  <c r="H118" i="18"/>
  <c r="I117" i="18"/>
  <c r="H117" i="18"/>
  <c r="I116" i="18"/>
  <c r="H116" i="18"/>
  <c r="I115" i="18"/>
  <c r="H115" i="18"/>
  <c r="I114" i="18"/>
  <c r="H114" i="18"/>
  <c r="I113" i="18"/>
  <c r="H113" i="18"/>
  <c r="I112" i="18"/>
  <c r="H112" i="18"/>
  <c r="I111" i="18"/>
  <c r="H111" i="18"/>
  <c r="J111" i="18" s="1"/>
  <c r="I110" i="18"/>
  <c r="H110" i="18"/>
  <c r="I109" i="18"/>
  <c r="H109" i="18"/>
  <c r="J109" i="18" s="1"/>
  <c r="I108" i="18"/>
  <c r="H108" i="18"/>
  <c r="I107" i="18"/>
  <c r="H107" i="18"/>
  <c r="J107" i="18" s="1"/>
  <c r="I106" i="18"/>
  <c r="H106" i="18"/>
  <c r="I105" i="18"/>
  <c r="H105" i="18"/>
  <c r="I104" i="18"/>
  <c r="H104" i="18"/>
  <c r="I103" i="18"/>
  <c r="H103" i="18"/>
  <c r="I102" i="18"/>
  <c r="H102" i="18"/>
  <c r="I101" i="18"/>
  <c r="H101" i="18"/>
  <c r="I100" i="18"/>
  <c r="H100" i="18"/>
  <c r="I99" i="18"/>
  <c r="H99" i="18"/>
  <c r="I98" i="18"/>
  <c r="H98" i="18"/>
  <c r="I97" i="18"/>
  <c r="H97" i="18"/>
  <c r="I96" i="18"/>
  <c r="H96" i="18"/>
  <c r="I95" i="18"/>
  <c r="H95" i="18"/>
  <c r="J95" i="18" s="1"/>
  <c r="I94" i="18"/>
  <c r="H94" i="18"/>
  <c r="I92" i="18"/>
  <c r="H92" i="18"/>
  <c r="J92" i="18" s="1"/>
  <c r="I91" i="18"/>
  <c r="H91" i="18"/>
  <c r="I90" i="18"/>
  <c r="H90" i="18"/>
  <c r="I89" i="18"/>
  <c r="H89" i="18"/>
  <c r="I88" i="18"/>
  <c r="H88" i="18"/>
  <c r="I87" i="18"/>
  <c r="H87" i="18"/>
  <c r="I86" i="18"/>
  <c r="H86" i="18"/>
  <c r="I85" i="18"/>
  <c r="H85" i="18"/>
  <c r="I84" i="18"/>
  <c r="H84" i="18"/>
  <c r="M84" i="18" s="1"/>
  <c r="I83" i="18"/>
  <c r="H83" i="18"/>
  <c r="I82" i="18"/>
  <c r="H82" i="18"/>
  <c r="I81" i="18"/>
  <c r="H81" i="18"/>
  <c r="I80" i="18"/>
  <c r="H80" i="18"/>
  <c r="I79" i="18"/>
  <c r="H79" i="18"/>
  <c r="I78" i="18"/>
  <c r="H78" i="18"/>
  <c r="I77" i="18"/>
  <c r="H77" i="18"/>
  <c r="I76" i="18"/>
  <c r="H76" i="18"/>
  <c r="I75" i="18"/>
  <c r="H75" i="18"/>
  <c r="I74" i="18"/>
  <c r="H74" i="18"/>
  <c r="I73" i="18"/>
  <c r="H73" i="18"/>
  <c r="I72" i="18"/>
  <c r="H72" i="18"/>
  <c r="I71" i="18"/>
  <c r="H71" i="18"/>
  <c r="I70" i="18"/>
  <c r="H70" i="18"/>
  <c r="I69" i="18"/>
  <c r="H69" i="18"/>
  <c r="I68" i="18"/>
  <c r="H68" i="18"/>
  <c r="I67" i="18"/>
  <c r="H67" i="18"/>
  <c r="I66" i="18"/>
  <c r="H66" i="18"/>
  <c r="I65" i="18"/>
  <c r="H65" i="18"/>
  <c r="I63" i="18"/>
  <c r="H63" i="18"/>
  <c r="I62" i="18"/>
  <c r="H62" i="18"/>
  <c r="I61" i="18"/>
  <c r="H61" i="18"/>
  <c r="I60" i="18"/>
  <c r="H60" i="18"/>
  <c r="I59" i="18"/>
  <c r="H59" i="18"/>
  <c r="I58" i="18"/>
  <c r="H58" i="18"/>
  <c r="I57" i="18"/>
  <c r="H57" i="18"/>
  <c r="I56" i="18"/>
  <c r="H56" i="18"/>
  <c r="I55" i="18"/>
  <c r="H55" i="18"/>
  <c r="I54" i="18"/>
  <c r="H54" i="18"/>
  <c r="I53" i="18"/>
  <c r="H53" i="18"/>
  <c r="I52" i="18"/>
  <c r="H52" i="18"/>
  <c r="I51" i="18"/>
  <c r="H51" i="18"/>
  <c r="I50" i="18"/>
  <c r="H50" i="18"/>
  <c r="I49" i="18"/>
  <c r="H49" i="18"/>
  <c r="I48" i="18"/>
  <c r="H48" i="18"/>
  <c r="I47" i="18"/>
  <c r="H47" i="18"/>
  <c r="I46" i="18"/>
  <c r="H46" i="18"/>
  <c r="I45" i="18"/>
  <c r="H45" i="18"/>
  <c r="I44" i="18"/>
  <c r="H44" i="18"/>
  <c r="I43" i="18"/>
  <c r="H43" i="18"/>
  <c r="I42" i="18"/>
  <c r="H42" i="18"/>
  <c r="I41" i="18"/>
  <c r="H41" i="18"/>
  <c r="I40" i="18"/>
  <c r="H40" i="18"/>
  <c r="I38" i="18"/>
  <c r="H38" i="18"/>
  <c r="I37" i="18"/>
  <c r="H37" i="18"/>
  <c r="I36" i="18"/>
  <c r="H36" i="18"/>
  <c r="I35" i="18"/>
  <c r="H35" i="18"/>
  <c r="I33" i="18"/>
  <c r="H33" i="18"/>
  <c r="I32" i="18"/>
  <c r="H32" i="18"/>
  <c r="I31" i="18"/>
  <c r="H31" i="18"/>
  <c r="I30" i="18"/>
  <c r="H30" i="18"/>
  <c r="I29" i="18"/>
  <c r="H29" i="18"/>
  <c r="I28" i="18"/>
  <c r="H28" i="18"/>
  <c r="I27" i="18"/>
  <c r="H27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7" i="18"/>
  <c r="H7" i="18"/>
  <c r="I6" i="18"/>
  <c r="H6" i="18"/>
  <c r="M136" i="18" l="1"/>
  <c r="M140" i="18"/>
  <c r="J83" i="18"/>
  <c r="K83" i="18" s="1"/>
  <c r="J70" i="18"/>
  <c r="K70" i="18" s="1"/>
  <c r="M82" i="18"/>
  <c r="J89" i="18"/>
  <c r="L89" i="18" s="1"/>
  <c r="J6" i="18"/>
  <c r="K6" i="18" s="1"/>
  <c r="M52" i="18"/>
  <c r="M56" i="18"/>
  <c r="M144" i="18"/>
  <c r="M148" i="18"/>
  <c r="J113" i="18"/>
  <c r="L113" i="18" s="1"/>
  <c r="M69" i="18"/>
  <c r="M73" i="18"/>
  <c r="M75" i="18"/>
  <c r="M96" i="18"/>
  <c r="J98" i="18"/>
  <c r="K98" i="18" s="1"/>
  <c r="M100" i="18"/>
  <c r="J102" i="18"/>
  <c r="L102" i="18" s="1"/>
  <c r="M104" i="18"/>
  <c r="J106" i="18"/>
  <c r="L106" i="18" s="1"/>
  <c r="M108" i="18"/>
  <c r="J110" i="18"/>
  <c r="L110" i="18" s="1"/>
  <c r="M112" i="18"/>
  <c r="J114" i="18"/>
  <c r="L114" i="18" s="1"/>
  <c r="M49" i="18"/>
  <c r="M47" i="18"/>
  <c r="J150" i="18"/>
  <c r="L150" i="18" s="1"/>
  <c r="J94" i="18"/>
  <c r="L94" i="18" s="1"/>
  <c r="J79" i="18"/>
  <c r="L79" i="18" s="1"/>
  <c r="M91" i="18"/>
  <c r="M65" i="18"/>
  <c r="M66" i="18"/>
  <c r="M60" i="18"/>
  <c r="M59" i="18"/>
  <c r="M51" i="18"/>
  <c r="M68" i="18"/>
  <c r="J8" i="18"/>
  <c r="L8" i="18" s="1"/>
  <c r="J10" i="18"/>
  <c r="L10" i="18" s="1"/>
  <c r="J14" i="18"/>
  <c r="L14" i="18" s="1"/>
  <c r="J24" i="18"/>
  <c r="L24" i="18" s="1"/>
  <c r="J97" i="18"/>
  <c r="K97" i="18" s="1"/>
  <c r="J115" i="18"/>
  <c r="K115" i="18" s="1"/>
  <c r="J124" i="18"/>
  <c r="K124" i="18" s="1"/>
  <c r="J80" i="18"/>
  <c r="K80" i="18" s="1"/>
  <c r="J11" i="18"/>
  <c r="K11" i="18" s="1"/>
  <c r="M13" i="18"/>
  <c r="M67" i="18"/>
  <c r="J99" i="18"/>
  <c r="L99" i="18" s="1"/>
  <c r="J101" i="18"/>
  <c r="L101" i="18" s="1"/>
  <c r="J103" i="18"/>
  <c r="L103" i="18" s="1"/>
  <c r="J105" i="18"/>
  <c r="L105" i="18" s="1"/>
  <c r="J118" i="18"/>
  <c r="L118" i="18" s="1"/>
  <c r="M120" i="18"/>
  <c r="M122" i="18"/>
  <c r="J133" i="18"/>
  <c r="K133" i="18" s="1"/>
  <c r="J142" i="18"/>
  <c r="L142" i="18" s="1"/>
  <c r="J144" i="18"/>
  <c r="J53" i="18"/>
  <c r="K53" i="18" s="1"/>
  <c r="M57" i="18"/>
  <c r="J61" i="18"/>
  <c r="K61" i="18" s="1"/>
  <c r="M50" i="18"/>
  <c r="M58" i="18"/>
  <c r="J15" i="18"/>
  <c r="L15" i="18" s="1"/>
  <c r="J23" i="18"/>
  <c r="K23" i="18" s="1"/>
  <c r="J18" i="18"/>
  <c r="K18" i="18" s="1"/>
  <c r="J22" i="18"/>
  <c r="L22" i="18" s="1"/>
  <c r="M15" i="18"/>
  <c r="M19" i="18"/>
  <c r="J48" i="18"/>
  <c r="L48" i="18" s="1"/>
  <c r="M55" i="18"/>
  <c r="M62" i="18"/>
  <c r="M72" i="18"/>
  <c r="J16" i="18"/>
  <c r="L16" i="18" s="1"/>
  <c r="M23" i="18"/>
  <c r="M87" i="18"/>
  <c r="M90" i="18"/>
  <c r="J117" i="18"/>
  <c r="K117" i="18" s="1"/>
  <c r="J125" i="18"/>
  <c r="K125" i="18" s="1"/>
  <c r="J130" i="18"/>
  <c r="L130" i="18" s="1"/>
  <c r="J138" i="18"/>
  <c r="L138" i="18" s="1"/>
  <c r="J140" i="18"/>
  <c r="L140" i="18" s="1"/>
  <c r="M145" i="18"/>
  <c r="M147" i="18"/>
  <c r="M149" i="18"/>
  <c r="M151" i="18"/>
  <c r="M12" i="18"/>
  <c r="M14" i="18"/>
  <c r="J17" i="18"/>
  <c r="L17" i="18" s="1"/>
  <c r="J19" i="18"/>
  <c r="K19" i="18" s="1"/>
  <c r="J20" i="18"/>
  <c r="L20" i="18" s="1"/>
  <c r="M54" i="18"/>
  <c r="M63" i="18"/>
  <c r="M71" i="18"/>
  <c r="J122" i="18"/>
  <c r="L122" i="18" s="1"/>
  <c r="J21" i="18"/>
  <c r="L21" i="18" s="1"/>
  <c r="J76" i="18"/>
  <c r="K76" i="18" s="1"/>
  <c r="J84" i="18"/>
  <c r="K84" i="18" s="1"/>
  <c r="J87" i="18"/>
  <c r="L87" i="18" s="1"/>
  <c r="J90" i="18"/>
  <c r="L90" i="18" s="1"/>
  <c r="M116" i="18"/>
  <c r="M118" i="18"/>
  <c r="J119" i="18"/>
  <c r="K119" i="18" s="1"/>
  <c r="J129" i="18"/>
  <c r="L129" i="18" s="1"/>
  <c r="J137" i="18"/>
  <c r="L137" i="18" s="1"/>
  <c r="M146" i="18"/>
  <c r="M6" i="18"/>
  <c r="M8" i="18"/>
  <c r="M10" i="18"/>
  <c r="M16" i="18"/>
  <c r="M20" i="18"/>
  <c r="M24" i="18"/>
  <c r="J50" i="18"/>
  <c r="L50" i="18" s="1"/>
  <c r="J58" i="18"/>
  <c r="K58" i="18" s="1"/>
  <c r="J67" i="18"/>
  <c r="K67" i="18" s="1"/>
  <c r="M78" i="18"/>
  <c r="M95" i="18"/>
  <c r="M99" i="18"/>
  <c r="M103" i="18"/>
  <c r="M107" i="18"/>
  <c r="M111" i="18"/>
  <c r="M115" i="18"/>
  <c r="M119" i="18"/>
  <c r="M124" i="18"/>
  <c r="M125" i="18"/>
  <c r="J134" i="18"/>
  <c r="K134" i="18" s="1"/>
  <c r="J136" i="18"/>
  <c r="K136" i="18" s="1"/>
  <c r="J141" i="18"/>
  <c r="L141" i="18" s="1"/>
  <c r="J145" i="18"/>
  <c r="L145" i="18" s="1"/>
  <c r="M150" i="18"/>
  <c r="M17" i="18"/>
  <c r="M21" i="18"/>
  <c r="M48" i="18"/>
  <c r="M53" i="18"/>
  <c r="J57" i="18"/>
  <c r="K57" i="18" s="1"/>
  <c r="M61" i="18"/>
  <c r="J66" i="18"/>
  <c r="K66" i="18" s="1"/>
  <c r="M70" i="18"/>
  <c r="J74" i="18"/>
  <c r="L74" i="18" s="1"/>
  <c r="J75" i="18"/>
  <c r="L75" i="18" s="1"/>
  <c r="M80" i="18"/>
  <c r="M83" i="18"/>
  <c r="M89" i="18"/>
  <c r="J91" i="18"/>
  <c r="K91" i="18" s="1"/>
  <c r="M94" i="18"/>
  <c r="J96" i="18"/>
  <c r="K96" i="18" s="1"/>
  <c r="M98" i="18"/>
  <c r="J100" i="18"/>
  <c r="L100" i="18" s="1"/>
  <c r="M102" i="18"/>
  <c r="J104" i="18"/>
  <c r="K104" i="18" s="1"/>
  <c r="M106" i="18"/>
  <c r="J108" i="18"/>
  <c r="L108" i="18" s="1"/>
  <c r="M110" i="18"/>
  <c r="J112" i="18"/>
  <c r="K112" i="18" s="1"/>
  <c r="M114" i="18"/>
  <c r="J116" i="18"/>
  <c r="K116" i="18" s="1"/>
  <c r="J120" i="18"/>
  <c r="L120" i="18" s="1"/>
  <c r="J149" i="18"/>
  <c r="K149" i="18" s="1"/>
  <c r="M7" i="18"/>
  <c r="M9" i="18"/>
  <c r="M11" i="18"/>
  <c r="M18" i="18"/>
  <c r="M22" i="18"/>
  <c r="J49" i="18"/>
  <c r="K49" i="18" s="1"/>
  <c r="J54" i="18"/>
  <c r="L54" i="18" s="1"/>
  <c r="J62" i="18"/>
  <c r="L62" i="18" s="1"/>
  <c r="J71" i="18"/>
  <c r="L71" i="18" s="1"/>
  <c r="M76" i="18"/>
  <c r="M79" i="18"/>
  <c r="M86" i="18"/>
  <c r="M92" i="18"/>
  <c r="M97" i="18"/>
  <c r="M101" i="18"/>
  <c r="M105" i="18"/>
  <c r="M109" i="18"/>
  <c r="M113" i="18"/>
  <c r="M117" i="18"/>
  <c r="M121" i="18"/>
  <c r="J126" i="18"/>
  <c r="K126" i="18" s="1"/>
  <c r="J128" i="18"/>
  <c r="L128" i="18" s="1"/>
  <c r="J132" i="18"/>
  <c r="K132" i="18" s="1"/>
  <c r="M133" i="18"/>
  <c r="J146" i="18"/>
  <c r="K146" i="18" s="1"/>
  <c r="J148" i="18"/>
  <c r="L148" i="18" s="1"/>
  <c r="J31" i="18"/>
  <c r="M31" i="18"/>
  <c r="J38" i="18"/>
  <c r="M38" i="18"/>
  <c r="J44" i="18"/>
  <c r="M44" i="18"/>
  <c r="J46" i="18"/>
  <c r="M46" i="18"/>
  <c r="J7" i="18"/>
  <c r="J9" i="18"/>
  <c r="J12" i="18"/>
  <c r="K79" i="18"/>
  <c r="J25" i="18"/>
  <c r="M25" i="18"/>
  <c r="J27" i="18"/>
  <c r="M27" i="18"/>
  <c r="J29" i="18"/>
  <c r="M29" i="18"/>
  <c r="J33" i="18"/>
  <c r="M33" i="18"/>
  <c r="J36" i="18"/>
  <c r="M36" i="18"/>
  <c r="J42" i="18"/>
  <c r="M42" i="18"/>
  <c r="J13" i="18"/>
  <c r="J26" i="18"/>
  <c r="M26" i="18"/>
  <c r="J28" i="18"/>
  <c r="M28" i="18"/>
  <c r="J30" i="18"/>
  <c r="M30" i="18"/>
  <c r="J32" i="18"/>
  <c r="M32" i="18"/>
  <c r="J35" i="18"/>
  <c r="M35" i="18"/>
  <c r="J37" i="18"/>
  <c r="M37" i="18"/>
  <c r="J41" i="18"/>
  <c r="M41" i="18"/>
  <c r="J43" i="18"/>
  <c r="M43" i="18"/>
  <c r="J45" i="18"/>
  <c r="M45" i="18"/>
  <c r="M85" i="18"/>
  <c r="J85" i="18"/>
  <c r="J40" i="18"/>
  <c r="M40" i="18"/>
  <c r="M77" i="18"/>
  <c r="J77" i="18"/>
  <c r="L66" i="18"/>
  <c r="L70" i="18"/>
  <c r="M88" i="18"/>
  <c r="J88" i="18"/>
  <c r="J52" i="18"/>
  <c r="J56" i="18"/>
  <c r="J60" i="18"/>
  <c r="J65" i="18"/>
  <c r="J69" i="18"/>
  <c r="J73" i="18"/>
  <c r="M81" i="18"/>
  <c r="J81" i="18"/>
  <c r="L83" i="18"/>
  <c r="J47" i="18"/>
  <c r="J51" i="18"/>
  <c r="J55" i="18"/>
  <c r="J59" i="18"/>
  <c r="J63" i="18"/>
  <c r="J68" i="18"/>
  <c r="J72" i="18"/>
  <c r="J135" i="18"/>
  <c r="M135" i="18"/>
  <c r="J78" i="18"/>
  <c r="J82" i="18"/>
  <c r="J86" i="18"/>
  <c r="J139" i="18"/>
  <c r="M139" i="18"/>
  <c r="J156" i="18"/>
  <c r="M156" i="18"/>
  <c r="J127" i="18"/>
  <c r="M127" i="18"/>
  <c r="J143" i="18"/>
  <c r="M143" i="18"/>
  <c r="J160" i="18"/>
  <c r="M160" i="18"/>
  <c r="M74" i="18"/>
  <c r="K89" i="18"/>
  <c r="L92" i="18"/>
  <c r="K92" i="18"/>
  <c r="L95" i="18"/>
  <c r="K95" i="18"/>
  <c r="L97" i="18"/>
  <c r="L98" i="18"/>
  <c r="L107" i="18"/>
  <c r="K107" i="18"/>
  <c r="L109" i="18"/>
  <c r="K109" i="18"/>
  <c r="L111" i="18"/>
  <c r="K111" i="18"/>
  <c r="L121" i="18"/>
  <c r="K121" i="18"/>
  <c r="J131" i="18"/>
  <c r="M131" i="18"/>
  <c r="J164" i="18"/>
  <c r="M164" i="18"/>
  <c r="J155" i="18"/>
  <c r="M155" i="18"/>
  <c r="J159" i="18"/>
  <c r="M159" i="18"/>
  <c r="J163" i="18"/>
  <c r="M163" i="18"/>
  <c r="J167" i="18"/>
  <c r="M167" i="18"/>
  <c r="M126" i="18"/>
  <c r="M130" i="18"/>
  <c r="L132" i="18"/>
  <c r="M134" i="18"/>
  <c r="M138" i="18"/>
  <c r="M142" i="18"/>
  <c r="J154" i="18"/>
  <c r="M154" i="18"/>
  <c r="J158" i="18"/>
  <c r="M158" i="18"/>
  <c r="J162" i="18"/>
  <c r="M162" i="18"/>
  <c r="J166" i="18"/>
  <c r="M166" i="18"/>
  <c r="M129" i="18"/>
  <c r="M137" i="18"/>
  <c r="M141" i="18"/>
  <c r="L144" i="18"/>
  <c r="K144" i="18"/>
  <c r="J147" i="18"/>
  <c r="J151" i="18"/>
  <c r="J153" i="18"/>
  <c r="M153" i="18"/>
  <c r="J157" i="18"/>
  <c r="M157" i="18"/>
  <c r="J161" i="18"/>
  <c r="M161" i="18"/>
  <c r="J165" i="18"/>
  <c r="M165" i="18"/>
  <c r="K8" i="18" l="1"/>
  <c r="K137" i="18"/>
  <c r="L76" i="18"/>
  <c r="K17" i="18"/>
  <c r="K106" i="18"/>
  <c r="N106" i="18" s="1"/>
  <c r="O106" i="18" s="1"/>
  <c r="L11" i="18"/>
  <c r="L23" i="18"/>
  <c r="N23" i="18" s="1"/>
  <c r="O23" i="18" s="1"/>
  <c r="K94" i="18"/>
  <c r="N94" i="18" s="1"/>
  <c r="O94" i="18" s="1"/>
  <c r="K142" i="18"/>
  <c r="N142" i="18" s="1"/>
  <c r="O142" i="18" s="1"/>
  <c r="K128" i="18"/>
  <c r="K141" i="18"/>
  <c r="K129" i="18"/>
  <c r="N129" i="18" s="1"/>
  <c r="O129" i="18" s="1"/>
  <c r="K148" i="18"/>
  <c r="N148" i="18" s="1"/>
  <c r="O148" i="18" s="1"/>
  <c r="K130" i="18"/>
  <c r="N130" i="18" s="1"/>
  <c r="O130" i="18" s="1"/>
  <c r="K145" i="18"/>
  <c r="N145" i="18" s="1"/>
  <c r="O145" i="18" s="1"/>
  <c r="K138" i="18"/>
  <c r="N138" i="18" s="1"/>
  <c r="O138" i="18" s="1"/>
  <c r="K114" i="18"/>
  <c r="N114" i="18" s="1"/>
  <c r="O114" i="18" s="1"/>
  <c r="K120" i="18"/>
  <c r="N120" i="18" s="1"/>
  <c r="O120" i="18" s="1"/>
  <c r="K110" i="18"/>
  <c r="N110" i="18" s="1"/>
  <c r="O110" i="18" s="1"/>
  <c r="K108" i="18"/>
  <c r="N108" i="18" s="1"/>
  <c r="O108" i="18" s="1"/>
  <c r="K113" i="18"/>
  <c r="N113" i="18" s="1"/>
  <c r="O113" i="18" s="1"/>
  <c r="K100" i="18"/>
  <c r="N100" i="18" s="1"/>
  <c r="O100" i="18" s="1"/>
  <c r="L115" i="18"/>
  <c r="N115" i="18" s="1"/>
  <c r="O115" i="18" s="1"/>
  <c r="L112" i="18"/>
  <c r="N112" i="18" s="1"/>
  <c r="O112" i="18" s="1"/>
  <c r="K103" i="18"/>
  <c r="N103" i="18" s="1"/>
  <c r="O103" i="18" s="1"/>
  <c r="L117" i="18"/>
  <c r="N117" i="18" s="1"/>
  <c r="O117" i="18" s="1"/>
  <c r="K102" i="18"/>
  <c r="N102" i="18" s="1"/>
  <c r="O102" i="18" s="1"/>
  <c r="L126" i="18"/>
  <c r="L119" i="18"/>
  <c r="N119" i="18" s="1"/>
  <c r="O119" i="18" s="1"/>
  <c r="K150" i="18"/>
  <c r="N150" i="18" s="1"/>
  <c r="O150" i="18" s="1"/>
  <c r="L146" i="18"/>
  <c r="N146" i="18" s="1"/>
  <c r="O146" i="18" s="1"/>
  <c r="K71" i="18"/>
  <c r="N71" i="18" s="1"/>
  <c r="O71" i="18" s="1"/>
  <c r="K20" i="18"/>
  <c r="N20" i="18" s="1"/>
  <c r="O20" i="18" s="1"/>
  <c r="L136" i="18"/>
  <c r="N136" i="18" s="1"/>
  <c r="O136" i="18" s="1"/>
  <c r="L61" i="18"/>
  <c r="N61" i="18" s="1"/>
  <c r="O61" i="18" s="1"/>
  <c r="L18" i="18"/>
  <c r="N18" i="18" s="1"/>
  <c r="O18" i="18" s="1"/>
  <c r="K10" i="18"/>
  <c r="N10" i="18" s="1"/>
  <c r="O10" i="18" s="1"/>
  <c r="L6" i="18"/>
  <c r="N6" i="18" s="1"/>
  <c r="O6" i="18" s="1"/>
  <c r="K140" i="18"/>
  <c r="N140" i="18" s="1"/>
  <c r="O140" i="18" s="1"/>
  <c r="L133" i="18"/>
  <c r="N133" i="18" s="1"/>
  <c r="O133" i="18" s="1"/>
  <c r="L124" i="18"/>
  <c r="N124" i="18" s="1"/>
  <c r="O124" i="18" s="1"/>
  <c r="L104" i="18"/>
  <c r="N104" i="18" s="1"/>
  <c r="O104" i="18" s="1"/>
  <c r="K101" i="18"/>
  <c r="N101" i="18" s="1"/>
  <c r="O101" i="18" s="1"/>
  <c r="K118" i="18"/>
  <c r="N118" i="18" s="1"/>
  <c r="O118" i="18" s="1"/>
  <c r="L116" i="18"/>
  <c r="N116" i="18" s="1"/>
  <c r="O116" i="18" s="1"/>
  <c r="K99" i="18"/>
  <c r="N99" i="18" s="1"/>
  <c r="O99" i="18" s="1"/>
  <c r="L91" i="18"/>
  <c r="N91" i="18" s="1"/>
  <c r="O91" i="18" s="1"/>
  <c r="L80" i="18"/>
  <c r="N80" i="18" s="1"/>
  <c r="O80" i="18" s="1"/>
  <c r="K90" i="18"/>
  <c r="N90" i="18" s="1"/>
  <c r="O90" i="18" s="1"/>
  <c r="K75" i="18"/>
  <c r="N75" i="18" s="1"/>
  <c r="O75" i="18" s="1"/>
  <c r="N92" i="18"/>
  <c r="O92" i="18" s="1"/>
  <c r="L67" i="18"/>
  <c r="N67" i="18" s="1"/>
  <c r="O67" i="18" s="1"/>
  <c r="K24" i="18"/>
  <c r="N24" i="18" s="1"/>
  <c r="O24" i="18" s="1"/>
  <c r="K21" i="18"/>
  <c r="N21" i="18" s="1"/>
  <c r="O21" i="18" s="1"/>
  <c r="L49" i="18"/>
  <c r="N49" i="18" s="1"/>
  <c r="O49" i="18" s="1"/>
  <c r="K14" i="18"/>
  <c r="N14" i="18" s="1"/>
  <c r="O14" i="18" s="1"/>
  <c r="L58" i="18"/>
  <c r="N58" i="18" s="1"/>
  <c r="O58" i="18" s="1"/>
  <c r="L53" i="18"/>
  <c r="N53" i="18" s="1"/>
  <c r="O53" i="18" s="1"/>
  <c r="K122" i="18"/>
  <c r="N122" i="18" s="1"/>
  <c r="O122" i="18" s="1"/>
  <c r="L134" i="18"/>
  <c r="N134" i="18" s="1"/>
  <c r="O134" i="18" s="1"/>
  <c r="L125" i="18"/>
  <c r="N125" i="18" s="1"/>
  <c r="O125" i="18" s="1"/>
  <c r="N109" i="18"/>
  <c r="O109" i="18" s="1"/>
  <c r="K105" i="18"/>
  <c r="N105" i="18" s="1"/>
  <c r="O105" i="18" s="1"/>
  <c r="L84" i="18"/>
  <c r="N84" i="18" s="1"/>
  <c r="O84" i="18" s="1"/>
  <c r="N76" i="18"/>
  <c r="O76" i="18" s="1"/>
  <c r="K48" i="18"/>
  <c r="N48" i="18" s="1"/>
  <c r="O48" i="18" s="1"/>
  <c r="K74" i="18"/>
  <c r="N74" i="18" s="1"/>
  <c r="O74" i="18" s="1"/>
  <c r="L57" i="18"/>
  <c r="N57" i="18" s="1"/>
  <c r="O57" i="18" s="1"/>
  <c r="K15" i="18"/>
  <c r="N15" i="18" s="1"/>
  <c r="O15" i="18" s="1"/>
  <c r="K87" i="18"/>
  <c r="N87" i="18" s="1"/>
  <c r="O87" i="18" s="1"/>
  <c r="L149" i="18"/>
  <c r="N149" i="18" s="1"/>
  <c r="O149" i="18" s="1"/>
  <c r="L96" i="18"/>
  <c r="N96" i="18" s="1"/>
  <c r="O96" i="18" s="1"/>
  <c r="K54" i="18"/>
  <c r="N54" i="18" s="1"/>
  <c r="O54" i="18" s="1"/>
  <c r="K50" i="18"/>
  <c r="K22" i="18"/>
  <c r="N22" i="18" s="1"/>
  <c r="O22" i="18" s="1"/>
  <c r="L19" i="18"/>
  <c r="N19" i="18" s="1"/>
  <c r="O19" i="18" s="1"/>
  <c r="K16" i="18"/>
  <c r="N16" i="18" s="1"/>
  <c r="O16" i="18" s="1"/>
  <c r="N132" i="18"/>
  <c r="O132" i="18" s="1"/>
  <c r="N97" i="18"/>
  <c r="O97" i="18" s="1"/>
  <c r="N121" i="18"/>
  <c r="O121" i="18" s="1"/>
  <c r="K62" i="18"/>
  <c r="N62" i="18" s="1"/>
  <c r="O62" i="18" s="1"/>
  <c r="N83" i="18"/>
  <c r="O83" i="18" s="1"/>
  <c r="N66" i="18"/>
  <c r="O66" i="18" s="1"/>
  <c r="N79" i="18"/>
  <c r="O79" i="18" s="1"/>
  <c r="K157" i="18"/>
  <c r="L157" i="18"/>
  <c r="L147" i="18"/>
  <c r="K147" i="18"/>
  <c r="K164" i="18"/>
  <c r="L164" i="18"/>
  <c r="K88" i="18"/>
  <c r="L88" i="18"/>
  <c r="K77" i="18"/>
  <c r="L77" i="18"/>
  <c r="K43" i="18"/>
  <c r="L43" i="18"/>
  <c r="K30" i="18"/>
  <c r="L30" i="18"/>
  <c r="K36" i="18"/>
  <c r="L36" i="18"/>
  <c r="N144" i="18"/>
  <c r="O144" i="18" s="1"/>
  <c r="N128" i="18"/>
  <c r="O128" i="18" s="1"/>
  <c r="K158" i="18"/>
  <c r="L158" i="18"/>
  <c r="K167" i="18"/>
  <c r="L167" i="18"/>
  <c r="K159" i="18"/>
  <c r="L159" i="18"/>
  <c r="N126" i="18"/>
  <c r="O126" i="18" s="1"/>
  <c r="L143" i="18"/>
  <c r="K143" i="18"/>
  <c r="K156" i="18"/>
  <c r="L156" i="18"/>
  <c r="L82" i="18"/>
  <c r="K82" i="18"/>
  <c r="L135" i="18"/>
  <c r="K135" i="18"/>
  <c r="L68" i="18"/>
  <c r="K68" i="18"/>
  <c r="L51" i="18"/>
  <c r="K51" i="18"/>
  <c r="L65" i="18"/>
  <c r="K65" i="18"/>
  <c r="K40" i="18"/>
  <c r="L40" i="18"/>
  <c r="N11" i="18"/>
  <c r="O11" i="18" s="1"/>
  <c r="N137" i="18"/>
  <c r="O137" i="18" s="1"/>
  <c r="L72" i="18"/>
  <c r="K72" i="18"/>
  <c r="L55" i="18"/>
  <c r="K55" i="18"/>
  <c r="L52" i="18"/>
  <c r="K52" i="18"/>
  <c r="K35" i="18"/>
  <c r="L35" i="18"/>
  <c r="K26" i="18"/>
  <c r="L26" i="18"/>
  <c r="K13" i="18"/>
  <c r="L13" i="18"/>
  <c r="K29" i="18"/>
  <c r="L29" i="18"/>
  <c r="K25" i="18"/>
  <c r="L25" i="18"/>
  <c r="K7" i="18"/>
  <c r="L7" i="18"/>
  <c r="K44" i="18"/>
  <c r="L44" i="18"/>
  <c r="K166" i="18"/>
  <c r="L166" i="18"/>
  <c r="K161" i="18"/>
  <c r="L161" i="18"/>
  <c r="K153" i="18"/>
  <c r="L153" i="18"/>
  <c r="L131" i="18"/>
  <c r="K131" i="18"/>
  <c r="N98" i="18"/>
  <c r="O98" i="18" s="1"/>
  <c r="N89" i="18"/>
  <c r="O89" i="18" s="1"/>
  <c r="L139" i="18"/>
  <c r="K139" i="18"/>
  <c r="L63" i="18"/>
  <c r="K63" i="18"/>
  <c r="L47" i="18"/>
  <c r="K47" i="18"/>
  <c r="K81" i="18"/>
  <c r="L81" i="18"/>
  <c r="L60" i="18"/>
  <c r="K60" i="18"/>
  <c r="N70" i="18"/>
  <c r="O70" i="18" s="1"/>
  <c r="K45" i="18"/>
  <c r="L45" i="18"/>
  <c r="K41" i="18"/>
  <c r="L41" i="18"/>
  <c r="K37" i="18"/>
  <c r="L37" i="18"/>
  <c r="K32" i="18"/>
  <c r="L32" i="18"/>
  <c r="K28" i="18"/>
  <c r="L28" i="18"/>
  <c r="K42" i="18"/>
  <c r="L42" i="18"/>
  <c r="K33" i="18"/>
  <c r="L33" i="18"/>
  <c r="K27" i="18"/>
  <c r="L27" i="18"/>
  <c r="N50" i="18"/>
  <c r="O50" i="18" s="1"/>
  <c r="K12" i="18"/>
  <c r="L12" i="18"/>
  <c r="L46" i="18"/>
  <c r="K46" i="18"/>
  <c r="K38" i="18"/>
  <c r="L38" i="18"/>
  <c r="K165" i="18"/>
  <c r="L165" i="18"/>
  <c r="N141" i="18"/>
  <c r="O141" i="18" s="1"/>
  <c r="L69" i="18"/>
  <c r="K69" i="18"/>
  <c r="K31" i="18"/>
  <c r="L31" i="18"/>
  <c r="L151" i="18"/>
  <c r="K151" i="18"/>
  <c r="K162" i="18"/>
  <c r="L162" i="18"/>
  <c r="K154" i="18"/>
  <c r="L154" i="18"/>
  <c r="K163" i="18"/>
  <c r="L163" i="18"/>
  <c r="K155" i="18"/>
  <c r="L155" i="18"/>
  <c r="N111" i="18"/>
  <c r="O111" i="18" s="1"/>
  <c r="N107" i="18"/>
  <c r="O107" i="18" s="1"/>
  <c r="N95" i="18"/>
  <c r="O95" i="18" s="1"/>
  <c r="K160" i="18"/>
  <c r="L160" i="18"/>
  <c r="L127" i="18"/>
  <c r="K127" i="18"/>
  <c r="L86" i="18"/>
  <c r="K86" i="18"/>
  <c r="L78" i="18"/>
  <c r="K78" i="18"/>
  <c r="L59" i="18"/>
  <c r="K59" i="18"/>
  <c r="L73" i="18"/>
  <c r="K73" i="18"/>
  <c r="L56" i="18"/>
  <c r="K56" i="18"/>
  <c r="K85" i="18"/>
  <c r="L85" i="18"/>
  <c r="N17" i="18"/>
  <c r="O17" i="18" s="1"/>
  <c r="K9" i="18"/>
  <c r="L9" i="18"/>
  <c r="N8" i="18"/>
  <c r="O8" i="18" s="1"/>
  <c r="P124" i="18" l="1"/>
  <c r="P114" i="18"/>
  <c r="P142" i="18"/>
  <c r="P106" i="18"/>
  <c r="P148" i="18"/>
  <c r="P98" i="18"/>
  <c r="P137" i="18"/>
  <c r="P121" i="18"/>
  <c r="P116" i="18"/>
  <c r="P111" i="18"/>
  <c r="P141" i="18"/>
  <c r="P128" i="18"/>
  <c r="P97" i="18"/>
  <c r="P96" i="18"/>
  <c r="P134" i="18"/>
  <c r="P118" i="18"/>
  <c r="P133" i="18"/>
  <c r="P112" i="18"/>
  <c r="P108" i="18"/>
  <c r="P138" i="18"/>
  <c r="P129" i="18"/>
  <c r="P107" i="18"/>
  <c r="P125" i="18"/>
  <c r="P119" i="18"/>
  <c r="P103" i="18"/>
  <c r="P113" i="18"/>
  <c r="P126" i="18"/>
  <c r="P144" i="18"/>
  <c r="P132" i="18"/>
  <c r="P149" i="18"/>
  <c r="P105" i="18"/>
  <c r="P122" i="18"/>
  <c r="P101" i="18"/>
  <c r="P140" i="18"/>
  <c r="P146" i="18"/>
  <c r="P102" i="18"/>
  <c r="P115" i="18"/>
  <c r="P110" i="18"/>
  <c r="P145" i="18"/>
  <c r="P95" i="18"/>
  <c r="P94" i="18"/>
  <c r="P109" i="18"/>
  <c r="P99" i="18"/>
  <c r="P104" i="18"/>
  <c r="P136" i="18"/>
  <c r="P150" i="18"/>
  <c r="P117" i="18"/>
  <c r="P100" i="18"/>
  <c r="P120" i="18"/>
  <c r="P130" i="18"/>
  <c r="P66" i="18"/>
  <c r="P58" i="18"/>
  <c r="P50" i="18"/>
  <c r="P83" i="18"/>
  <c r="P57" i="18"/>
  <c r="P80" i="18"/>
  <c r="P71" i="18"/>
  <c r="P70" i="18"/>
  <c r="P74" i="18"/>
  <c r="P49" i="18"/>
  <c r="P92" i="18"/>
  <c r="P91" i="18"/>
  <c r="P61" i="18"/>
  <c r="P54" i="18"/>
  <c r="P76" i="18"/>
  <c r="P90" i="18"/>
  <c r="P89" i="18"/>
  <c r="P84" i="18"/>
  <c r="P67" i="18"/>
  <c r="P79" i="18"/>
  <c r="P62" i="18"/>
  <c r="P87" i="18"/>
  <c r="P48" i="18"/>
  <c r="P53" i="18"/>
  <c r="P75" i="18"/>
  <c r="P6" i="18"/>
  <c r="P17" i="18"/>
  <c r="P8" i="18"/>
  <c r="P10" i="18"/>
  <c r="P23" i="18"/>
  <c r="P22" i="18"/>
  <c r="P21" i="18"/>
  <c r="P11" i="18"/>
  <c r="P16" i="18"/>
  <c r="P15" i="18"/>
  <c r="P24" i="18"/>
  <c r="P20" i="18"/>
  <c r="P19" i="18"/>
  <c r="P14" i="18"/>
  <c r="P18" i="18"/>
  <c r="N127" i="18"/>
  <c r="O127" i="18" s="1"/>
  <c r="N154" i="18"/>
  <c r="O154" i="18" s="1"/>
  <c r="N63" i="18"/>
  <c r="O63" i="18" s="1"/>
  <c r="N86" i="18"/>
  <c r="O86" i="18" s="1"/>
  <c r="N46" i="18"/>
  <c r="O46" i="18" s="1"/>
  <c r="N37" i="18"/>
  <c r="O37" i="18" s="1"/>
  <c r="N47" i="18"/>
  <c r="O47" i="18" s="1"/>
  <c r="N131" i="18"/>
  <c r="O131" i="18" s="1"/>
  <c r="N44" i="18"/>
  <c r="O44" i="18" s="1"/>
  <c r="N158" i="18"/>
  <c r="O158" i="18" s="1"/>
  <c r="N40" i="18"/>
  <c r="O40" i="18" s="1"/>
  <c r="N33" i="18"/>
  <c r="O33" i="18" s="1"/>
  <c r="N13" i="18"/>
  <c r="O13" i="18" s="1"/>
  <c r="N73" i="18"/>
  <c r="O73" i="18" s="1"/>
  <c r="N160" i="18"/>
  <c r="O160" i="18" s="1"/>
  <c r="N151" i="18"/>
  <c r="O151" i="18" s="1"/>
  <c r="N165" i="18"/>
  <c r="O165" i="18" s="1"/>
  <c r="N166" i="18"/>
  <c r="O166" i="18" s="1"/>
  <c r="N52" i="18"/>
  <c r="O52" i="18" s="1"/>
  <c r="N51" i="18"/>
  <c r="O51" i="18" s="1"/>
  <c r="N164" i="18"/>
  <c r="O164" i="18" s="1"/>
  <c r="N56" i="18"/>
  <c r="O56" i="18" s="1"/>
  <c r="N81" i="18"/>
  <c r="O81" i="18" s="1"/>
  <c r="N68" i="18"/>
  <c r="O68" i="18" s="1"/>
  <c r="N143" i="18"/>
  <c r="O143" i="18" s="1"/>
  <c r="N9" i="18"/>
  <c r="O9" i="18" s="1"/>
  <c r="N163" i="18"/>
  <c r="O163" i="18" s="1"/>
  <c r="N31" i="18"/>
  <c r="O31" i="18" s="1"/>
  <c r="N12" i="18"/>
  <c r="O12" i="18" s="1"/>
  <c r="N27" i="18"/>
  <c r="O27" i="18" s="1"/>
  <c r="N32" i="18"/>
  <c r="O32" i="18" s="1"/>
  <c r="N161" i="18"/>
  <c r="O161" i="18" s="1"/>
  <c r="N29" i="18"/>
  <c r="O29" i="18" s="1"/>
  <c r="N167" i="18"/>
  <c r="O167" i="18" s="1"/>
  <c r="N30" i="18"/>
  <c r="O30" i="18" s="1"/>
  <c r="N88" i="18"/>
  <c r="O88" i="18" s="1"/>
  <c r="N28" i="18"/>
  <c r="O28" i="18" s="1"/>
  <c r="N45" i="18"/>
  <c r="O45" i="18" s="1"/>
  <c r="N153" i="18"/>
  <c r="O153" i="18" s="1"/>
  <c r="N25" i="18"/>
  <c r="O25" i="18" s="1"/>
  <c r="N35" i="18"/>
  <c r="O35" i="18" s="1"/>
  <c r="N72" i="18"/>
  <c r="O72" i="18" s="1"/>
  <c r="N65" i="18"/>
  <c r="O65" i="18" s="1"/>
  <c r="N156" i="18"/>
  <c r="O156" i="18" s="1"/>
  <c r="N159" i="18"/>
  <c r="O159" i="18" s="1"/>
  <c r="N36" i="18"/>
  <c r="O36" i="18" s="1"/>
  <c r="N147" i="18"/>
  <c r="O147" i="18" s="1"/>
  <c r="N157" i="18"/>
  <c r="O157" i="18" s="1"/>
  <c r="N155" i="18"/>
  <c r="O155" i="18" s="1"/>
  <c r="N85" i="18"/>
  <c r="O85" i="18" s="1"/>
  <c r="N59" i="18"/>
  <c r="O59" i="18" s="1"/>
  <c r="N78" i="18"/>
  <c r="O78" i="18" s="1"/>
  <c r="N162" i="18"/>
  <c r="O162" i="18" s="1"/>
  <c r="N69" i="18"/>
  <c r="O69" i="18" s="1"/>
  <c r="N38" i="18"/>
  <c r="O38" i="18" s="1"/>
  <c r="N42" i="18"/>
  <c r="O42" i="18" s="1"/>
  <c r="N41" i="18"/>
  <c r="O41" i="18" s="1"/>
  <c r="N60" i="18"/>
  <c r="O60" i="18" s="1"/>
  <c r="N139" i="18"/>
  <c r="O139" i="18" s="1"/>
  <c r="N7" i="18"/>
  <c r="O7" i="18" s="1"/>
  <c r="N26" i="18"/>
  <c r="O26" i="18" s="1"/>
  <c r="N55" i="18"/>
  <c r="O55" i="18" s="1"/>
  <c r="N135" i="18"/>
  <c r="O135" i="18" s="1"/>
  <c r="N82" i="18"/>
  <c r="O82" i="18" s="1"/>
  <c r="N43" i="18"/>
  <c r="O43" i="18" s="1"/>
  <c r="N77" i="18"/>
  <c r="O77" i="18" s="1"/>
  <c r="P131" i="18" l="1"/>
  <c r="P135" i="18"/>
  <c r="P139" i="18"/>
  <c r="P147" i="18"/>
  <c r="P153" i="18"/>
  <c r="P163" i="18"/>
  <c r="P160" i="18"/>
  <c r="P157" i="18"/>
  <c r="P151" i="18"/>
  <c r="P167" i="18"/>
  <c r="P166" i="18"/>
  <c r="P158" i="18"/>
  <c r="P154" i="18"/>
  <c r="P156" i="18"/>
  <c r="P161" i="18"/>
  <c r="P162" i="18"/>
  <c r="P155" i="18"/>
  <c r="P159" i="18"/>
  <c r="P143" i="18"/>
  <c r="P164" i="18"/>
  <c r="P165" i="18"/>
  <c r="P127" i="18"/>
  <c r="P82" i="18"/>
  <c r="P78" i="18"/>
  <c r="P86" i="18"/>
  <c r="P38" i="18"/>
  <c r="P59" i="18"/>
  <c r="P65" i="18"/>
  <c r="P81" i="18"/>
  <c r="P52" i="18"/>
  <c r="P40" i="18"/>
  <c r="P47" i="18"/>
  <c r="P63" i="18"/>
  <c r="P42" i="18"/>
  <c r="P88" i="18"/>
  <c r="P51" i="18"/>
  <c r="P77" i="18"/>
  <c r="P55" i="18"/>
  <c r="P60" i="18"/>
  <c r="P69" i="18"/>
  <c r="P85" i="18"/>
  <c r="P36" i="18"/>
  <c r="P72" i="18"/>
  <c r="P45" i="18"/>
  <c r="P56" i="18"/>
  <c r="P73" i="18"/>
  <c r="P37" i="18"/>
  <c r="P68" i="18"/>
  <c r="P43" i="18"/>
  <c r="P41" i="18"/>
  <c r="P35" i="18"/>
  <c r="P44" i="18"/>
  <c r="P46" i="18"/>
  <c r="P29" i="18"/>
  <c r="P13" i="18"/>
  <c r="P25" i="18"/>
  <c r="P27" i="18"/>
  <c r="P9" i="18"/>
  <c r="P26" i="18"/>
  <c r="P28" i="18"/>
  <c r="P12" i="18"/>
  <c r="P7" i="18"/>
  <c r="P31" i="18"/>
  <c r="P33" i="18"/>
  <c r="P30" i="18"/>
  <c r="P32" i="18"/>
  <c r="L58" i="16"/>
  <c r="K58" i="16"/>
  <c r="L57" i="16"/>
  <c r="K57" i="16"/>
  <c r="L56" i="16"/>
  <c r="K56" i="16"/>
  <c r="L55" i="16"/>
  <c r="K55" i="16"/>
  <c r="L54" i="16"/>
  <c r="K54" i="16"/>
  <c r="L53" i="16"/>
  <c r="K53" i="16"/>
  <c r="L52" i="16"/>
  <c r="K52" i="16"/>
  <c r="L51" i="16"/>
  <c r="K51" i="16"/>
  <c r="L50" i="16"/>
  <c r="K50" i="16"/>
  <c r="Q50" i="16" s="1"/>
  <c r="L49" i="16"/>
  <c r="K49" i="16"/>
  <c r="L48" i="16"/>
  <c r="K48" i="16"/>
  <c r="L47" i="16"/>
  <c r="K47" i="16"/>
  <c r="P45" i="16"/>
  <c r="L45" i="16"/>
  <c r="K45" i="16"/>
  <c r="P44" i="16"/>
  <c r="L44" i="16"/>
  <c r="K44" i="16"/>
  <c r="P43" i="16"/>
  <c r="L43" i="16"/>
  <c r="K43" i="16"/>
  <c r="P42" i="16"/>
  <c r="L42" i="16"/>
  <c r="K42" i="16"/>
  <c r="P41" i="16"/>
  <c r="L41" i="16"/>
  <c r="K41" i="16"/>
  <c r="P40" i="16"/>
  <c r="L40" i="16"/>
  <c r="K40" i="16"/>
  <c r="P39" i="16"/>
  <c r="L39" i="16"/>
  <c r="K39" i="16"/>
  <c r="P38" i="16"/>
  <c r="L38" i="16"/>
  <c r="K38" i="16"/>
  <c r="P37" i="16"/>
  <c r="L37" i="16"/>
  <c r="K37" i="16"/>
  <c r="P36" i="16"/>
  <c r="L36" i="16"/>
  <c r="K36" i="16"/>
  <c r="P35" i="16"/>
  <c r="L35" i="16"/>
  <c r="K35" i="16"/>
  <c r="P34" i="16"/>
  <c r="L34" i="16"/>
  <c r="K34" i="16"/>
  <c r="L31" i="16"/>
  <c r="K31" i="16"/>
  <c r="L30" i="16"/>
  <c r="K30" i="16"/>
  <c r="L29" i="16"/>
  <c r="K29" i="16"/>
  <c r="L28" i="16"/>
  <c r="K28" i="16"/>
  <c r="L27" i="16"/>
  <c r="K27" i="16"/>
  <c r="L26" i="16"/>
  <c r="K26" i="16"/>
  <c r="L25" i="16"/>
  <c r="K25" i="16"/>
  <c r="Q25" i="16" s="1"/>
  <c r="L24" i="16"/>
  <c r="K24" i="16"/>
  <c r="L23" i="16"/>
  <c r="K23" i="16"/>
  <c r="Q23" i="16" s="1"/>
  <c r="L22" i="16"/>
  <c r="K22" i="16"/>
  <c r="L21" i="16"/>
  <c r="K21" i="16"/>
  <c r="Q21" i="16" s="1"/>
  <c r="L20" i="16"/>
  <c r="K20" i="16"/>
  <c r="L19" i="16"/>
  <c r="K19" i="16"/>
  <c r="Q19" i="16" s="1"/>
  <c r="P17" i="16"/>
  <c r="L17" i="16"/>
  <c r="K17" i="16"/>
  <c r="P16" i="16"/>
  <c r="L16" i="16"/>
  <c r="K16" i="16"/>
  <c r="P15" i="16"/>
  <c r="L15" i="16"/>
  <c r="K15" i="16"/>
  <c r="P14" i="16"/>
  <c r="L14" i="16"/>
  <c r="K14" i="16"/>
  <c r="P13" i="16"/>
  <c r="L13" i="16"/>
  <c r="K13" i="16"/>
  <c r="P12" i="16"/>
  <c r="L12" i="16"/>
  <c r="K12" i="16"/>
  <c r="P11" i="16"/>
  <c r="L11" i="16"/>
  <c r="K11" i="16"/>
  <c r="P10" i="16"/>
  <c r="L10" i="16"/>
  <c r="K10" i="16"/>
  <c r="P9" i="16"/>
  <c r="L9" i="16"/>
  <c r="K9" i="16"/>
  <c r="P8" i="16"/>
  <c r="L8" i="16"/>
  <c r="K8" i="16"/>
  <c r="P7" i="16"/>
  <c r="L7" i="16"/>
  <c r="K7" i="16"/>
  <c r="P6" i="16"/>
  <c r="L6" i="16"/>
  <c r="K6" i="16"/>
  <c r="P5" i="16"/>
  <c r="L5" i="16"/>
  <c r="K5" i="16"/>
  <c r="Q58" i="16" l="1"/>
  <c r="M56" i="16"/>
  <c r="O56" i="16" s="1"/>
  <c r="M42" i="16"/>
  <c r="O42" i="16" s="1"/>
  <c r="Q45" i="16"/>
  <c r="Q39" i="16"/>
  <c r="M34" i="16"/>
  <c r="O34" i="16" s="1"/>
  <c r="M38" i="16"/>
  <c r="N38" i="16" s="1"/>
  <c r="Q43" i="16"/>
  <c r="Q20" i="16"/>
  <c r="Q22" i="16"/>
  <c r="Q24" i="16"/>
  <c r="Q26" i="16"/>
  <c r="Q28" i="16"/>
  <c r="Q30" i="16"/>
  <c r="Q12" i="16"/>
  <c r="M14" i="16"/>
  <c r="O14" i="16" s="1"/>
  <c r="Q16" i="16"/>
  <c r="M57" i="16"/>
  <c r="N57" i="16" s="1"/>
  <c r="M55" i="16"/>
  <c r="N55" i="16" s="1"/>
  <c r="Q47" i="16"/>
  <c r="M35" i="16"/>
  <c r="O35" i="16" s="1"/>
  <c r="Q7" i="16"/>
  <c r="M10" i="16"/>
  <c r="O10" i="16" s="1"/>
  <c r="Q14" i="16"/>
  <c r="Q10" i="16"/>
  <c r="Q27" i="16"/>
  <c r="Q11" i="16"/>
  <c r="M15" i="16"/>
  <c r="O15" i="16" s="1"/>
  <c r="M43" i="16"/>
  <c r="O43" i="16" s="1"/>
  <c r="Q44" i="16"/>
  <c r="Q53" i="16"/>
  <c r="Q29" i="16"/>
  <c r="Q31" i="16"/>
  <c r="Q37" i="16"/>
  <c r="Q42" i="16"/>
  <c r="R42" i="16" s="1"/>
  <c r="M48" i="16"/>
  <c r="O48" i="16" s="1"/>
  <c r="Q52" i="16"/>
  <c r="Q56" i="16"/>
  <c r="Q8" i="16"/>
  <c r="Q35" i="16"/>
  <c r="Q40" i="16"/>
  <c r="M47" i="16"/>
  <c r="N47" i="16" s="1"/>
  <c r="Q51" i="16"/>
  <c r="Q6" i="16"/>
  <c r="M7" i="16"/>
  <c r="N7" i="16" s="1"/>
  <c r="Q15" i="16"/>
  <c r="Q34" i="16"/>
  <c r="M39" i="16"/>
  <c r="O39" i="16" s="1"/>
  <c r="Q48" i="16"/>
  <c r="M51" i="16"/>
  <c r="N51" i="16" s="1"/>
  <c r="M52" i="16"/>
  <c r="O52" i="16" s="1"/>
  <c r="M11" i="16"/>
  <c r="O11" i="16" s="1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Q38" i="16"/>
  <c r="Q49" i="16"/>
  <c r="Q55" i="16"/>
  <c r="Q57" i="16"/>
  <c r="Q36" i="16"/>
  <c r="Q41" i="16"/>
  <c r="Q54" i="16"/>
  <c r="Q9" i="16"/>
  <c r="M9" i="16"/>
  <c r="Q13" i="16"/>
  <c r="M13" i="16"/>
  <c r="Q17" i="16"/>
  <c r="M17" i="16"/>
  <c r="M5" i="16"/>
  <c r="Q5" i="16"/>
  <c r="M8" i="16"/>
  <c r="M12" i="16"/>
  <c r="M16" i="16"/>
  <c r="M36" i="16"/>
  <c r="M40" i="16"/>
  <c r="M44" i="16"/>
  <c r="M49" i="16"/>
  <c r="M53" i="16"/>
  <c r="M37" i="16"/>
  <c r="M41" i="16"/>
  <c r="M45" i="16"/>
  <c r="M50" i="16"/>
  <c r="M54" i="16"/>
  <c r="M58" i="16"/>
  <c r="M6" i="16"/>
  <c r="N42" i="16" l="1"/>
  <c r="R14" i="16"/>
  <c r="R43" i="16"/>
  <c r="O57" i="16"/>
  <c r="R57" i="16" s="1"/>
  <c r="F57" i="16" s="1"/>
  <c r="S57" i="16" s="1"/>
  <c r="R56" i="16"/>
  <c r="O55" i="16"/>
  <c r="R55" i="16" s="1"/>
  <c r="F55" i="16" s="1"/>
  <c r="S55" i="16" s="1"/>
  <c r="N56" i="16"/>
  <c r="N35" i="16"/>
  <c r="R39" i="16"/>
  <c r="N34" i="16"/>
  <c r="O38" i="16"/>
  <c r="R38" i="16" s="1"/>
  <c r="F38" i="16" s="1"/>
  <c r="S38" i="16" s="1"/>
  <c r="R35" i="16"/>
  <c r="N15" i="16"/>
  <c r="N14" i="16"/>
  <c r="F14" i="16" s="1"/>
  <c r="N11" i="16"/>
  <c r="R10" i="16"/>
  <c r="R48" i="16"/>
  <c r="N48" i="16"/>
  <c r="O51" i="16"/>
  <c r="R51" i="16" s="1"/>
  <c r="F51" i="16" s="1"/>
  <c r="S51" i="16" s="1"/>
  <c r="R52" i="16"/>
  <c r="O47" i="16"/>
  <c r="R47" i="16" s="1"/>
  <c r="F47" i="16" s="1"/>
  <c r="S47" i="16" s="1"/>
  <c r="N43" i="16"/>
  <c r="R11" i="16"/>
  <c r="F11" i="16" s="1"/>
  <c r="N10" i="16"/>
  <c r="F10" i="16" s="1"/>
  <c r="R15" i="16"/>
  <c r="O31" i="16"/>
  <c r="R31" i="16" s="1"/>
  <c r="N31" i="16"/>
  <c r="O23" i="16"/>
  <c r="R23" i="16" s="1"/>
  <c r="N23" i="16"/>
  <c r="N39" i="16"/>
  <c r="O30" i="16"/>
  <c r="R30" i="16" s="1"/>
  <c r="N30" i="16"/>
  <c r="O22" i="16"/>
  <c r="R22" i="16" s="1"/>
  <c r="N22" i="16"/>
  <c r="N52" i="16"/>
  <c r="O29" i="16"/>
  <c r="R29" i="16" s="1"/>
  <c r="N29" i="16"/>
  <c r="O25" i="16"/>
  <c r="R25" i="16" s="1"/>
  <c r="N25" i="16"/>
  <c r="O21" i="16"/>
  <c r="R21" i="16" s="1"/>
  <c r="N21" i="16"/>
  <c r="F42" i="16"/>
  <c r="S42" i="16" s="1"/>
  <c r="R34" i="16"/>
  <c r="F34" i="16" s="1"/>
  <c r="S34" i="16" s="1"/>
  <c r="O27" i="16"/>
  <c r="R27" i="16" s="1"/>
  <c r="N27" i="16"/>
  <c r="O19" i="16"/>
  <c r="R19" i="16" s="1"/>
  <c r="N19" i="16"/>
  <c r="O7" i="16"/>
  <c r="R7" i="16" s="1"/>
  <c r="F7" i="16" s="1"/>
  <c r="O26" i="16"/>
  <c r="R26" i="16" s="1"/>
  <c r="N26" i="16"/>
  <c r="O28" i="16"/>
  <c r="R28" i="16" s="1"/>
  <c r="N28" i="16"/>
  <c r="O24" i="16"/>
  <c r="R24" i="16" s="1"/>
  <c r="N24" i="16"/>
  <c r="O20" i="16"/>
  <c r="R20" i="16" s="1"/>
  <c r="N20" i="16"/>
  <c r="N58" i="16"/>
  <c r="O58" i="16"/>
  <c r="R58" i="16" s="1"/>
  <c r="N41" i="16"/>
  <c r="O41" i="16"/>
  <c r="R41" i="16" s="1"/>
  <c r="O53" i="16"/>
  <c r="R53" i="16" s="1"/>
  <c r="N53" i="16"/>
  <c r="O36" i="16"/>
  <c r="R36" i="16" s="1"/>
  <c r="N36" i="16"/>
  <c r="O12" i="16"/>
  <c r="R12" i="16" s="1"/>
  <c r="N12" i="16"/>
  <c r="N54" i="16"/>
  <c r="O54" i="16"/>
  <c r="R54" i="16" s="1"/>
  <c r="N37" i="16"/>
  <c r="O37" i="16"/>
  <c r="R37" i="16" s="1"/>
  <c r="O40" i="16"/>
  <c r="R40" i="16" s="1"/>
  <c r="N40" i="16"/>
  <c r="O8" i="16"/>
  <c r="R8" i="16" s="1"/>
  <c r="N8" i="16"/>
  <c r="N5" i="16"/>
  <c r="O5" i="16"/>
  <c r="R5" i="16" s="1"/>
  <c r="N17" i="16"/>
  <c r="O17" i="16"/>
  <c r="R17" i="16" s="1"/>
  <c r="N9" i="16"/>
  <c r="O9" i="16"/>
  <c r="R9" i="16" s="1"/>
  <c r="N50" i="16"/>
  <c r="O50" i="16"/>
  <c r="R50" i="16" s="1"/>
  <c r="O44" i="16"/>
  <c r="R44" i="16" s="1"/>
  <c r="N44" i="16"/>
  <c r="O6" i="16"/>
  <c r="R6" i="16" s="1"/>
  <c r="N6" i="16"/>
  <c r="N45" i="16"/>
  <c r="O45" i="16"/>
  <c r="R45" i="16" s="1"/>
  <c r="O49" i="16"/>
  <c r="R49" i="16" s="1"/>
  <c r="N49" i="16"/>
  <c r="O16" i="16"/>
  <c r="R16" i="16" s="1"/>
  <c r="N16" i="16"/>
  <c r="N13" i="16"/>
  <c r="O13" i="16"/>
  <c r="R13" i="16" s="1"/>
  <c r="F35" i="16" l="1"/>
  <c r="S35" i="16" s="1"/>
  <c r="S11" i="16"/>
  <c r="S10" i="16"/>
  <c r="S14" i="16"/>
  <c r="S7" i="16"/>
  <c r="F43" i="16"/>
  <c r="S43" i="16" s="1"/>
  <c r="F5" i="16"/>
  <c r="F39" i="16"/>
  <c r="S39" i="16" s="1"/>
  <c r="F56" i="16"/>
  <c r="S56" i="16" s="1"/>
  <c r="F15" i="16"/>
  <c r="F48" i="16"/>
  <c r="S48" i="16" s="1"/>
  <c r="F16" i="16"/>
  <c r="F9" i="16"/>
  <c r="F54" i="16"/>
  <c r="S54" i="16" s="1"/>
  <c r="F52" i="16"/>
  <c r="S52" i="16" s="1"/>
  <c r="F44" i="16"/>
  <c r="S44" i="16" s="1"/>
  <c r="F40" i="16"/>
  <c r="S40" i="16" s="1"/>
  <c r="F20" i="16"/>
  <c r="F30" i="16"/>
  <c r="F12" i="16"/>
  <c r="F58" i="16"/>
  <c r="S58" i="16" s="1"/>
  <c r="F49" i="16"/>
  <c r="S49" i="16" s="1"/>
  <c r="F6" i="16"/>
  <c r="F50" i="16"/>
  <c r="S50" i="16" s="1"/>
  <c r="F8" i="16"/>
  <c r="F26" i="16"/>
  <c r="F25" i="16"/>
  <c r="F22" i="16"/>
  <c r="F17" i="16"/>
  <c r="F45" i="16"/>
  <c r="S45" i="16" s="1"/>
  <c r="F31" i="16"/>
  <c r="F37" i="16"/>
  <c r="S37" i="16" s="1"/>
  <c r="F27" i="16"/>
  <c r="F24" i="16"/>
  <c r="F21" i="16"/>
  <c r="F29" i="16"/>
  <c r="F53" i="16"/>
  <c r="S53" i="16" s="1"/>
  <c r="F13" i="16"/>
  <c r="F36" i="16"/>
  <c r="S36" i="16" s="1"/>
  <c r="F41" i="16"/>
  <c r="S41" i="16" s="1"/>
  <c r="F28" i="16"/>
  <c r="F19" i="16"/>
  <c r="F23" i="16"/>
  <c r="S5" i="16" l="1"/>
  <c r="S29" i="16"/>
  <c r="S12" i="16"/>
  <c r="S16" i="16"/>
  <c r="S23" i="16"/>
  <c r="S31" i="16"/>
  <c r="S25" i="16"/>
  <c r="S30" i="16"/>
  <c r="S19" i="16"/>
  <c r="S13" i="16"/>
  <c r="S24" i="16"/>
  <c r="S26" i="16"/>
  <c r="S20" i="16"/>
  <c r="S22" i="16"/>
  <c r="S21" i="16"/>
  <c r="S6" i="16"/>
  <c r="S28" i="16"/>
  <c r="S27" i="16"/>
  <c r="S17" i="16"/>
  <c r="S8" i="16"/>
  <c r="S9" i="16"/>
  <c r="S15" i="16"/>
  <c r="C7" i="4" l="1"/>
  <c r="Q7" i="4" s="1"/>
  <c r="C8" i="4"/>
  <c r="Q8" i="4" s="1"/>
  <c r="C14" i="4"/>
  <c r="Q14" i="4" s="1"/>
  <c r="C15" i="4"/>
  <c r="Q15" i="4" s="1"/>
  <c r="C16" i="4"/>
  <c r="Q16" i="4" s="1"/>
  <c r="C17" i="4"/>
  <c r="Q17" i="4" s="1"/>
  <c r="C18" i="4"/>
  <c r="Q18" i="4" s="1"/>
  <c r="C19" i="4"/>
  <c r="Q19" i="4" s="1"/>
  <c r="C20" i="4"/>
  <c r="Q20" i="4" s="1"/>
  <c r="C21" i="4"/>
  <c r="Q21" i="4" s="1"/>
  <c r="C22" i="4"/>
  <c r="Q22" i="4" s="1"/>
  <c r="C23" i="4"/>
  <c r="Q23" i="4" s="1"/>
  <c r="H5" i="6" l="1"/>
  <c r="H6" i="6"/>
  <c r="H7" i="6"/>
  <c r="H4" i="6"/>
  <c r="F7" i="6" l="1"/>
  <c r="F5" i="6"/>
  <c r="F4" i="6"/>
  <c r="F6" i="6"/>
  <c r="G4" i="6" l="1"/>
  <c r="C4" i="6" s="1"/>
  <c r="I4" i="6" s="1"/>
  <c r="G7" i="6"/>
  <c r="C7" i="6" s="1"/>
  <c r="I7" i="6" s="1"/>
  <c r="G6" i="6"/>
  <c r="C6" i="6" s="1"/>
  <c r="I6" i="6" s="1"/>
  <c r="G5" i="6"/>
  <c r="C5" i="6" s="1"/>
  <c r="I5" i="6" s="1"/>
  <c r="K10" i="4" l="1"/>
  <c r="K11" i="4"/>
  <c r="K9" i="4"/>
  <c r="K13" i="4"/>
  <c r="K12" i="4"/>
  <c r="M9" i="4" l="1"/>
  <c r="O9" i="4"/>
  <c r="L9" i="4"/>
  <c r="O11" i="4"/>
  <c r="L11" i="4"/>
  <c r="M11" i="4"/>
  <c r="M12" i="4"/>
  <c r="O12" i="4"/>
  <c r="L12" i="4"/>
  <c r="O10" i="4"/>
  <c r="M10" i="4"/>
  <c r="L10" i="4"/>
  <c r="M13" i="4"/>
  <c r="O13" i="4"/>
  <c r="L13" i="4"/>
  <c r="P13" i="4" l="1"/>
  <c r="P9" i="4"/>
  <c r="C9" i="4" s="1"/>
  <c r="Q9" i="4" s="1"/>
  <c r="C13" i="4"/>
  <c r="Q13" i="4" s="1"/>
  <c r="P10" i="4"/>
  <c r="C10" i="4" s="1"/>
  <c r="Q10" i="4" s="1"/>
  <c r="P12" i="4"/>
  <c r="C12" i="4" s="1"/>
  <c r="Q12" i="4" s="1"/>
  <c r="P11" i="4"/>
  <c r="C11" i="4" s="1"/>
  <c r="Q11" i="4" s="1"/>
</calcChain>
</file>

<file path=xl/sharedStrings.xml><?xml version="1.0" encoding="utf-8"?>
<sst xmlns="http://schemas.openxmlformats.org/spreadsheetml/2006/main" count="1006" uniqueCount="296">
  <si>
    <t>Ruolo</t>
  </si>
  <si>
    <t>Qualifica</t>
  </si>
  <si>
    <t>Classe</t>
  </si>
  <si>
    <t>Costo totale annuo per l'Ateneo</t>
  </si>
  <si>
    <t>Stipendio</t>
  </si>
  <si>
    <t>Val. Cl.</t>
  </si>
  <si>
    <t>I.I.S.</t>
  </si>
  <si>
    <t>Ass. Agg.</t>
  </si>
  <si>
    <t>XIII</t>
  </si>
  <si>
    <t>I.I.S. XIII</t>
  </si>
  <si>
    <t>Irap</t>
  </si>
  <si>
    <t>Tes. C.E.</t>
  </si>
  <si>
    <t>O.P. C.E.</t>
  </si>
  <si>
    <t>Totale oneri prev.</t>
  </si>
  <si>
    <t>tempo definito</t>
  </si>
  <si>
    <t>classe 0</t>
  </si>
  <si>
    <t>classe 1</t>
  </si>
  <si>
    <t>classe 2</t>
  </si>
  <si>
    <t>classe 3</t>
  </si>
  <si>
    <t>classe 4</t>
  </si>
  <si>
    <t>classe 5</t>
  </si>
  <si>
    <t>classe 6</t>
  </si>
  <si>
    <t xml:space="preserve">classe 7 </t>
  </si>
  <si>
    <t>classe 8</t>
  </si>
  <si>
    <t>classe 9</t>
  </si>
  <si>
    <t>classe 10</t>
  </si>
  <si>
    <t>classe 11</t>
  </si>
  <si>
    <t>classe 12</t>
  </si>
  <si>
    <t>classe 13</t>
  </si>
  <si>
    <t>col. C - classe 0 - III anno</t>
  </si>
  <si>
    <t>col. C - classe 2 - III anno</t>
  </si>
  <si>
    <t>col. C - classe 4 - III anno</t>
  </si>
  <si>
    <t>col. C - classe 6 - III anno</t>
  </si>
  <si>
    <t>col. C - classe 8 - III anno</t>
  </si>
  <si>
    <t>col. C - classe 10 - III anno</t>
  </si>
  <si>
    <t>col. C - classe 12 - III anno</t>
  </si>
  <si>
    <t>col.C - classe 1 - I anno</t>
  </si>
  <si>
    <t>col.C - classe 3 - I anno</t>
  </si>
  <si>
    <t>col.C - classe 5 - I anno</t>
  </si>
  <si>
    <t>col.C - classe 7 - I anno</t>
  </si>
  <si>
    <t>col.C - classe 9 - I anno</t>
  </si>
  <si>
    <t>col.C - classe 11 - I anno</t>
  </si>
  <si>
    <t>col.C - classe 13 - I anno</t>
  </si>
  <si>
    <t>tempo pieno</t>
  </si>
  <si>
    <t xml:space="preserve">tempo pieno </t>
  </si>
  <si>
    <t>classe 7</t>
  </si>
  <si>
    <t>col C - classe 2 - III anno</t>
  </si>
  <si>
    <t>col C - classe 4 - III anno</t>
  </si>
  <si>
    <t>col C - classe 6 - III anno</t>
  </si>
  <si>
    <t>col C - classe 8 - III anno</t>
  </si>
  <si>
    <t>col C - classe 10 - III anno</t>
  </si>
  <si>
    <t>col.C - classe 0 - III anno</t>
  </si>
  <si>
    <t>col.C - classe 2 - III anno</t>
  </si>
  <si>
    <t>col.C - classe 4 - III anno</t>
  </si>
  <si>
    <t>col.C - classe 6 - III anno</t>
  </si>
  <si>
    <t>col.C - classe 8 - III anno</t>
  </si>
  <si>
    <t>col.C - classe 10 - III anno</t>
  </si>
  <si>
    <t>col.C - classe 12 - III anno</t>
  </si>
  <si>
    <t>PO</t>
  </si>
  <si>
    <t>PA</t>
  </si>
  <si>
    <t>RU</t>
  </si>
  <si>
    <t>Tempo</t>
  </si>
  <si>
    <t>Inquadramento</t>
  </si>
  <si>
    <t>Inquadramento CSA</t>
  </si>
  <si>
    <t>Add. Tes. C.E.</t>
  </si>
  <si>
    <t>definito</t>
  </si>
  <si>
    <t>pieno</t>
  </si>
  <si>
    <t>PO TD classe 0</t>
  </si>
  <si>
    <t>PO classe 0</t>
  </si>
  <si>
    <t>PO TD classe 1</t>
  </si>
  <si>
    <t>PO classe 1</t>
  </si>
  <si>
    <t>PO TD classe 2</t>
  </si>
  <si>
    <t>PO classe 2</t>
  </si>
  <si>
    <t>PO TD classe 3</t>
  </si>
  <si>
    <t>PO classe 3</t>
  </si>
  <si>
    <t>PO TD classe 4</t>
  </si>
  <si>
    <t>PO classe 4</t>
  </si>
  <si>
    <t>PO TD classe 5</t>
  </si>
  <si>
    <t>PO classe 5</t>
  </si>
  <si>
    <t>PO TD classe 6</t>
  </si>
  <si>
    <t>PO classe 6</t>
  </si>
  <si>
    <t>PO classe 7</t>
  </si>
  <si>
    <t>PO classe 8</t>
  </si>
  <si>
    <t>PO classe 9</t>
  </si>
  <si>
    <t>PO classe 10</t>
  </si>
  <si>
    <t>PO classe 11</t>
  </si>
  <si>
    <t>Ordinario</t>
  </si>
  <si>
    <t>Lordo</t>
  </si>
  <si>
    <t>Associato</t>
  </si>
  <si>
    <t>Associato TD classe 0</t>
  </si>
  <si>
    <t>Associato classe 0</t>
  </si>
  <si>
    <t>Associato TD classe 1</t>
  </si>
  <si>
    <t>Associato classe 1</t>
  </si>
  <si>
    <t>Associato TD classe 2</t>
  </si>
  <si>
    <t>Associato classe 2</t>
  </si>
  <si>
    <t>Associato TD classe 3</t>
  </si>
  <si>
    <t>Associato classe 3</t>
  </si>
  <si>
    <t>Associato TD classe 4</t>
  </si>
  <si>
    <t>Associato classe 4</t>
  </si>
  <si>
    <t>Associato TD classe 5</t>
  </si>
  <si>
    <t>Associato classe 5</t>
  </si>
  <si>
    <t>Associato TD classe 6</t>
  </si>
  <si>
    <t>Associato classe 6</t>
  </si>
  <si>
    <t>Associato TD classe 7</t>
  </si>
  <si>
    <t>Associato classe 7</t>
  </si>
  <si>
    <t>Associato TD classe 8</t>
  </si>
  <si>
    <t>Associato classe 8</t>
  </si>
  <si>
    <t>Associato TD classe 9</t>
  </si>
  <si>
    <t>Associato classe 9</t>
  </si>
  <si>
    <t>Associato TD classe 10</t>
  </si>
  <si>
    <t>Associato classe 10</t>
  </si>
  <si>
    <t>Associato TD classe 11</t>
  </si>
  <si>
    <t>Associato classe 11</t>
  </si>
  <si>
    <t>Associato TD classe 12</t>
  </si>
  <si>
    <t>Associato classe 12</t>
  </si>
  <si>
    <t>PO TD classe 7</t>
  </si>
  <si>
    <t>PO TD classe 8</t>
  </si>
  <si>
    <t>PO TD classe 9</t>
  </si>
  <si>
    <t>PO TD classe 10</t>
  </si>
  <si>
    <t>PO TD classe 11</t>
  </si>
  <si>
    <t>Cat.</t>
  </si>
  <si>
    <t>I.I.S XIII</t>
  </si>
  <si>
    <t>Ateneo</t>
  </si>
  <si>
    <t>Posiz.</t>
  </si>
  <si>
    <t>Tot. Lordo</t>
  </si>
  <si>
    <t>D.S. C.E.</t>
  </si>
  <si>
    <t>Tot. Oneri Previdenziali</t>
  </si>
  <si>
    <t>B1</t>
  </si>
  <si>
    <t>B2</t>
  </si>
  <si>
    <t>Personale tecnico amministrativo - categoria B2</t>
  </si>
  <si>
    <t>B3</t>
  </si>
  <si>
    <t>Personale tecnico amministrativo - categoria B3</t>
  </si>
  <si>
    <t>B4</t>
  </si>
  <si>
    <t>Personale tecnico amministrativo - categoria B4</t>
  </si>
  <si>
    <t>C1</t>
  </si>
  <si>
    <t>Personale tecnico amministrativo - categoria C1</t>
  </si>
  <si>
    <t>C2</t>
  </si>
  <si>
    <t>Personale tecnico amministrativo - categoria C2</t>
  </si>
  <si>
    <t>C3</t>
  </si>
  <si>
    <t>Personale tecnico amministrativo - categoria C3</t>
  </si>
  <si>
    <t>C4</t>
  </si>
  <si>
    <t>Personale tecnico amministrativo - categoria C4</t>
  </si>
  <si>
    <t>C5</t>
  </si>
  <si>
    <t>Personale tecnico amministrativo - categoria C5</t>
  </si>
  <si>
    <t>D1</t>
  </si>
  <si>
    <t>Personale tecnico amministrativo - categoria D1</t>
  </si>
  <si>
    <t>D2</t>
  </si>
  <si>
    <t>Personale tecnico amministrativo - categoria D2</t>
  </si>
  <si>
    <t>D3</t>
  </si>
  <si>
    <t>Personale tecnico amministrativo - categoria D3</t>
  </si>
  <si>
    <t>D4</t>
  </si>
  <si>
    <t>Personale tecnico amministrativo - categoria D4</t>
  </si>
  <si>
    <t>D5</t>
  </si>
  <si>
    <t>Personale tecnico amministrativo - categoria D5</t>
  </si>
  <si>
    <t>EP1</t>
  </si>
  <si>
    <t>Personale tecnico amministrativo - categoria EP1</t>
  </si>
  <si>
    <t>EP2</t>
  </si>
  <si>
    <t>Personale tecnico amministrativo - categoria EP2</t>
  </si>
  <si>
    <t>EP3</t>
  </si>
  <si>
    <t>Personale tecnico amministrativo - categoria EP3</t>
  </si>
  <si>
    <t>EP4</t>
  </si>
  <si>
    <t>Personale tecnico amministrativo - categoria EP4</t>
  </si>
  <si>
    <t>EP5</t>
  </si>
  <si>
    <t>Personale tecnico amministrativo - categoria EP5</t>
  </si>
  <si>
    <t>monte ore annuo</t>
  </si>
  <si>
    <t>Totale Lordo percipiente</t>
  </si>
  <si>
    <t>oneri IRAP ed INPS</t>
  </si>
  <si>
    <t>TFR (accantonamento annuale)</t>
  </si>
  <si>
    <t>CEL impegno annuo 270 ore</t>
  </si>
  <si>
    <t>CEL impegno annuo 450 ore</t>
  </si>
  <si>
    <t>CEL impegno annuo 540 ore</t>
  </si>
  <si>
    <t>CEL impegno annuo 630 ore</t>
  </si>
  <si>
    <t>A</t>
  </si>
  <si>
    <t>C</t>
  </si>
  <si>
    <t>E</t>
  </si>
  <si>
    <t>Tot. Lordo percipiente</t>
  </si>
  <si>
    <t>c/ente tesoro</t>
  </si>
  <si>
    <t>c/ente tfr opera previdenza</t>
  </si>
  <si>
    <t>Tot. Oneri prev.</t>
  </si>
  <si>
    <t>G</t>
  </si>
  <si>
    <t>F</t>
  </si>
  <si>
    <t>H=(E+F+G)</t>
  </si>
  <si>
    <t>B5</t>
  </si>
  <si>
    <t>B6</t>
  </si>
  <si>
    <t>C6</t>
  </si>
  <si>
    <t>C7</t>
  </si>
  <si>
    <t>D6</t>
  </si>
  <si>
    <t>D7</t>
  </si>
  <si>
    <t>EP6</t>
  </si>
  <si>
    <t>EP7</t>
  </si>
  <si>
    <t>I=(A+C+H)</t>
  </si>
  <si>
    <t xml:space="preserve">Trattamento economico complessivo a.l. </t>
  </si>
  <si>
    <t xml:space="preserve">Quota base erogata a cadenza mensile </t>
  </si>
  <si>
    <t>Quota accessoria di importo variabile, non superiore al 20%  del trattamento economico complessivo</t>
  </si>
  <si>
    <t>Oneri carico Ente           C</t>
  </si>
  <si>
    <t>A (1+2)</t>
  </si>
  <si>
    <t>MINIMO - D3</t>
  </si>
  <si>
    <t>MASSIMO - EP3</t>
  </si>
  <si>
    <t>CLASSI</t>
  </si>
  <si>
    <t>IIS</t>
  </si>
  <si>
    <t>AA</t>
  </si>
  <si>
    <t>13MA</t>
  </si>
  <si>
    <t>IIS 13MA</t>
  </si>
  <si>
    <t>TOT LORDO</t>
  </si>
  <si>
    <t>IRAP</t>
  </si>
  <si>
    <t>TESORO</t>
  </si>
  <si>
    <t>OP PREVID</t>
  </si>
  <si>
    <t>TOT ONERI</t>
  </si>
  <si>
    <t>col C - classe 12 - III anno</t>
  </si>
  <si>
    <t>col C - classe 1 - I anno</t>
  </si>
  <si>
    <t>col C - classe 3 - I anno</t>
  </si>
  <si>
    <t>col C - classe 5 - I anno</t>
  </si>
  <si>
    <t>col C - classe 7 - I anno</t>
  </si>
  <si>
    <t>col C - classe 9 - I anno</t>
  </si>
  <si>
    <t>col C - classe 11 - I anno</t>
  </si>
  <si>
    <t>col C - classe 13 - I anno</t>
  </si>
  <si>
    <t>D8</t>
  </si>
  <si>
    <t>Retr. si posizione fissa</t>
  </si>
  <si>
    <t>IVC</t>
  </si>
  <si>
    <t>IVC XIII</t>
  </si>
  <si>
    <t>Retr. si posizione fissa XIII</t>
  </si>
  <si>
    <t>classe 3 - I anno</t>
  </si>
  <si>
    <t>B7</t>
  </si>
  <si>
    <t>C8</t>
  </si>
  <si>
    <t>RETRIBUZIONE LORDA</t>
  </si>
  <si>
    <t>XIII RETR.</t>
  </si>
  <si>
    <t>XIII IIS</t>
  </si>
  <si>
    <t>ATENEO</t>
  </si>
  <si>
    <t>TOTALE LORDO</t>
  </si>
  <si>
    <t>TOTALE SENZA IRAP</t>
  </si>
  <si>
    <t>EP8</t>
  </si>
  <si>
    <t>POSIZIONE</t>
  </si>
  <si>
    <t>XIII POSIZIONE</t>
  </si>
  <si>
    <t>XIII posizi</t>
  </si>
  <si>
    <t>Assegno aggiuntivo</t>
  </si>
  <si>
    <t>add.le tesoro C. E</t>
  </si>
  <si>
    <t>c/ente disoccupazione</t>
  </si>
  <si>
    <t xml:space="preserve">Ricercatori L.240/10 Art. 24 c.3 lett. A - Tempo Definito </t>
  </si>
  <si>
    <t>Ricercatori L.240/10 Art. 24 c.3 lett. A - Tempo Pieno</t>
  </si>
  <si>
    <t>Ricercatori L.240/10 Art. 24 c.3 lett. B - Tempo Pieno</t>
  </si>
  <si>
    <t>Ricercatori L.240/10 Art. 24 c.3 lett. B - Tempo Pieno + 3%</t>
  </si>
  <si>
    <t>Ricercatori L.240/10 Art. 24 c.3 lett. B - Tempo Pieno + 20%</t>
  </si>
  <si>
    <t>Ricercatori L.240/10 Art. 24 c.3 lett. B - Tempo Pieno + 25%</t>
  </si>
  <si>
    <t>Ricercatori L.240/10 Art. 24 c.3 lett. B - Tempo Pieno + 30%</t>
  </si>
  <si>
    <t>Ricercatori L.240/10 Art. 24 c.3 lett. B - Tempo Definito + 20%</t>
  </si>
  <si>
    <t>IVC (STIP+13°)</t>
  </si>
  <si>
    <t>IVC x 13 mens</t>
  </si>
  <si>
    <t>T.F.R./op.previdenza</t>
  </si>
  <si>
    <t>IVC (in 13 mensilità)</t>
  </si>
  <si>
    <t>dpcm2023</t>
  </si>
  <si>
    <t>costo stimato 23</t>
  </si>
  <si>
    <t>costo stimato 24</t>
  </si>
  <si>
    <t>costo stimato 2025</t>
  </si>
  <si>
    <t>costo 2022</t>
  </si>
  <si>
    <t>dpcm 2024</t>
  </si>
  <si>
    <t>dpcm 2025</t>
  </si>
  <si>
    <t>totale</t>
  </si>
  <si>
    <t>Costo orario</t>
  </si>
  <si>
    <t>Monte ore annuo = 1584</t>
  </si>
  <si>
    <t>Monte ore = 1.500 ore, ridotte a 750 per il personale a tempo definito</t>
  </si>
  <si>
    <t xml:space="preserve"> (come previsto all'articolo 6 comma 1 della legge 240/2010)</t>
  </si>
  <si>
    <t>Personale tecnico amministrativo - categoria B1</t>
  </si>
  <si>
    <t>Personale tecnico amministrativo - categoria B5</t>
  </si>
  <si>
    <t>Personale tecnico amministrativo - categoria B6</t>
  </si>
  <si>
    <t>Personale tecnico amministrativo - categoria C6</t>
  </si>
  <si>
    <t>Personale tecnico amministrativo - categoria C7</t>
  </si>
  <si>
    <t>Personale tecnico amministrativo - categoria D6</t>
  </si>
  <si>
    <t>Personale tecnico amministrativo - categoria D7</t>
  </si>
  <si>
    <t>Personale tecnico amministrativo - categoria EP6</t>
  </si>
  <si>
    <t>Personale tecnico amministrativo - categoria EP7</t>
  </si>
  <si>
    <t>Personale tecnico amministrativo - categoria B7</t>
  </si>
  <si>
    <t>Personale tecnico amministrativo - categoria C8</t>
  </si>
  <si>
    <t>Personale tecnico amministrativo - categoria EP8</t>
  </si>
  <si>
    <t>Personale tecnico amministrativo - categoria D8</t>
  </si>
  <si>
    <t>Tabella Voci Stipendiali (valori annui) PTA - Ruolo ND (tempo indeterminato) - IN VIGORE dal 01.01.2019 (CCNL 2019-2021)</t>
  </si>
  <si>
    <t>Tabella Voci Stipendiali (valori annui) PTA - Ruolo NM-NE (tempo indeterminato) - IN VIGORE dal 01.01.2019 (CCNL 2019-2021)</t>
  </si>
  <si>
    <t xml:space="preserve">Costo totale annuo </t>
  </si>
  <si>
    <t>Costo totale annuo</t>
  </si>
  <si>
    <t>Trattamento economico di riferimento</t>
  </si>
  <si>
    <t xml:space="preserve">Tabella Voci Stipendiali (valori annui) Docenti - Assunti dopo l'entrata in vigore della Legge 240/2010  </t>
  </si>
  <si>
    <t>Tabella Voci Stipendiali (valori annui) Docenti  e Ricercatori - Inquadramento DPR 232 Nuovo</t>
  </si>
  <si>
    <t>Tabella Voci Stipendiali Ricercatori Tempo Determinato L. 240/2010 - Attualmente in vigore dal 01.01.2022 aggiornato dal DPCM del 2022</t>
  </si>
  <si>
    <t>liquidato da dicembre 22</t>
  </si>
  <si>
    <t>TESORO c.e.</t>
  </si>
  <si>
    <t>TFS/TFR c.e.</t>
  </si>
  <si>
    <t>Stipendio annuo lordo (con tredicesima)</t>
  </si>
  <si>
    <t>Collaboratori ed Esperti Linguistici - Attualmente in vigore - CCNL 2019/2021</t>
  </si>
  <si>
    <t>Tabella Voci Stipendiali (valori annui) PTA - Ruolo NG (tempo indeterminato) - IN VIGORE dal 01.01.2019 (CCNL 2019-2021)</t>
  </si>
  <si>
    <t>IN VIGORE dal 01.01.2022</t>
  </si>
  <si>
    <t>STIP</t>
  </si>
  <si>
    <t>Tesoro C.E.</t>
  </si>
  <si>
    <t>INPGI c..e.</t>
  </si>
  <si>
    <t>Cassa Inpgi</t>
  </si>
  <si>
    <t>N.B. Il costo complessivo definito deve gravare interamente su fondi di finanziamento esterni</t>
  </si>
  <si>
    <r>
      <t>TECNOLOGI -</t>
    </r>
    <r>
      <rPr>
        <b/>
        <sz val="11"/>
        <color rgb="FFC00000"/>
        <rFont val="Arial"/>
        <family val="2"/>
      </rPr>
      <t xml:space="preserve"> Trattamento economico ( In vigore dal 01/01/2021)</t>
    </r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</si>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</sst>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 &quot;;&quot; &quot;@&quot; &quot;"/>
    <numFmt numFmtId="168" formatCode="#,##0.00_ ;\-#,##0.00\ "/>
    <numFmt numFmtId="169" formatCode="#,##0.0000"/>
    <numFmt numFmtId="170" formatCode="&quot; &quot;#,##0.00&quot; &quot;;&quot;-&quot;#,##0.00&quot; &quot;;&quot; - &quot;;&quot; &quot;@&quot; &quot;"/>
    <numFmt numFmtId="171" formatCode="0.0000000"/>
    <numFmt numFmtId="172" formatCode="#,##0.0000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11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sz val="11"/>
      <color rgb="FFC00000"/>
      <name val="Arial"/>
      <family val="2"/>
    </font>
    <font>
      <sz val="11"/>
      <color theme="1"/>
      <name val="Aria"/>
    </font>
    <font>
      <sz val="9"/>
      <color rgb="FF000000"/>
      <name val="Aria"/>
    </font>
    <font>
      <b/>
      <sz val="10"/>
      <name val="Aria"/>
    </font>
    <font>
      <sz val="10"/>
      <color theme="1"/>
      <name val="Aria"/>
    </font>
    <font>
      <sz val="10"/>
      <name val="Aria"/>
    </font>
    <font>
      <b/>
      <sz val="14"/>
      <color rgb="FFC00000"/>
      <name val="Aria"/>
    </font>
    <font>
      <sz val="11"/>
      <color rgb="FFC00000"/>
      <name val="Aria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sz val="11"/>
      <name val="Aria"/>
    </font>
  </fonts>
  <fills count="12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99CCFF"/>
      </patternFill>
    </fill>
    <fill>
      <patternFill patternType="solid">
        <fgColor rgb="FFC00000"/>
        <bgColor rgb="FFDAEEF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2" borderId="0" applyNumberFormat="0" applyBorder="0" applyAlignment="0" applyProtection="0"/>
    <xf numFmtId="166" fontId="2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81">
    <xf numFmtId="0" fontId="0" fillId="0" borderId="0" xfId="0"/>
    <xf numFmtId="0" fontId="0" fillId="0" borderId="1" xfId="0" applyBorder="1"/>
    <xf numFmtId="0" fontId="8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4" fillId="0" borderId="0" xfId="0" applyFont="1"/>
    <xf numFmtId="0" fontId="5" fillId="0" borderId="0" xfId="0" applyFont="1"/>
    <xf numFmtId="165" fontId="8" fillId="0" borderId="0" xfId="1" applyFont="1"/>
    <xf numFmtId="165" fontId="9" fillId="0" borderId="0" xfId="1" applyFont="1"/>
    <xf numFmtId="165" fontId="5" fillId="0" borderId="0" xfId="1" applyFont="1"/>
    <xf numFmtId="165" fontId="5" fillId="0" borderId="0" xfId="0" applyNumberFormat="1" applyFont="1"/>
    <xf numFmtId="43" fontId="5" fillId="0" borderId="0" xfId="0" applyNumberFormat="1" applyFont="1"/>
    <xf numFmtId="0" fontId="5" fillId="0" borderId="1" xfId="0" applyFont="1" applyBorder="1"/>
    <xf numFmtId="165" fontId="4" fillId="0" borderId="1" xfId="1" applyFont="1" applyBorder="1"/>
    <xf numFmtId="165" fontId="8" fillId="0" borderId="1" xfId="1" applyFont="1" applyBorder="1"/>
    <xf numFmtId="165" fontId="5" fillId="0" borderId="1" xfId="1" applyFont="1" applyBorder="1"/>
    <xf numFmtId="165" fontId="5" fillId="0" borderId="1" xfId="1" applyFont="1" applyFill="1" applyBorder="1"/>
    <xf numFmtId="0" fontId="10" fillId="0" borderId="0" xfId="0" applyFont="1" applyAlignment="1">
      <alignment vertical="center"/>
    </xf>
    <xf numFmtId="0" fontId="11" fillId="0" borderId="0" xfId="0" applyFont="1"/>
    <xf numFmtId="0" fontId="7" fillId="0" borderId="0" xfId="0" applyFont="1"/>
    <xf numFmtId="0" fontId="12" fillId="0" borderId="0" xfId="0" applyFont="1"/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0" fontId="13" fillId="9" borderId="1" xfId="4" applyNumberFormat="1" applyFont="1" applyFill="1" applyBorder="1" applyAlignment="1">
      <alignment horizontal="center" vertical="center" wrapText="1"/>
    </xf>
    <xf numFmtId="170" fontId="13" fillId="9" borderId="1" xfId="4" applyNumberFormat="1" applyFont="1" applyFill="1" applyBorder="1" applyAlignment="1">
      <alignment vertical="center"/>
    </xf>
    <xf numFmtId="165" fontId="6" fillId="0" borderId="1" xfId="1" applyFont="1" applyBorder="1"/>
    <xf numFmtId="165" fontId="6" fillId="0" borderId="1" xfId="1" applyFont="1" applyFill="1" applyBorder="1"/>
    <xf numFmtId="0" fontId="8" fillId="0" borderId="18" xfId="0" applyFont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6" fillId="5" borderId="20" xfId="2" applyFont="1" applyFill="1" applyBorder="1" applyAlignment="1">
      <alignment horizontal="center" vertical="center"/>
    </xf>
    <xf numFmtId="10" fontId="6" fillId="5" borderId="20" xfId="2" applyNumberFormat="1" applyFont="1" applyFill="1" applyBorder="1" applyAlignment="1">
      <alignment horizontal="center" vertical="center"/>
    </xf>
    <xf numFmtId="0" fontId="6" fillId="5" borderId="21" xfId="2" applyFont="1" applyFill="1" applyBorder="1" applyAlignment="1">
      <alignment horizontal="center" vertical="center"/>
    </xf>
    <xf numFmtId="0" fontId="6" fillId="5" borderId="11" xfId="2" applyFont="1" applyFill="1" applyBorder="1" applyAlignment="1">
      <alignment vertical="center"/>
    </xf>
    <xf numFmtId="4" fontId="6" fillId="5" borderId="12" xfId="2" applyNumberFormat="1" applyFont="1" applyFill="1" applyBorder="1" applyAlignment="1">
      <alignment vertical="center"/>
    </xf>
    <xf numFmtId="0" fontId="6" fillId="5" borderId="13" xfId="2" applyFont="1" applyFill="1" applyBorder="1" applyAlignment="1">
      <alignment vertical="center"/>
    </xf>
    <xf numFmtId="4" fontId="6" fillId="5" borderId="14" xfId="2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2" xfId="0" applyFont="1" applyBorder="1"/>
    <xf numFmtId="165" fontId="5" fillId="0" borderId="2" xfId="1" applyFont="1" applyBorder="1"/>
    <xf numFmtId="165" fontId="8" fillId="0" borderId="2" xfId="1" applyFont="1" applyBorder="1"/>
    <xf numFmtId="0" fontId="13" fillId="9" borderId="1" xfId="0" applyFont="1" applyFill="1" applyBorder="1" applyAlignment="1">
      <alignment horizontal="left" vertical="center"/>
    </xf>
    <xf numFmtId="166" fontId="13" fillId="9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5" borderId="14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1" fontId="0" fillId="0" borderId="0" xfId="0" applyNumberFormat="1"/>
    <xf numFmtId="172" fontId="0" fillId="0" borderId="0" xfId="0" applyNumberFormat="1"/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4" fontId="9" fillId="0" borderId="24" xfId="0" applyNumberFormat="1" applyFont="1" applyBorder="1" applyAlignment="1">
      <alignment horizontal="center" vertical="center"/>
    </xf>
    <xf numFmtId="4" fontId="5" fillId="0" borderId="24" xfId="0" applyNumberFormat="1" applyFont="1" applyBorder="1"/>
    <xf numFmtId="43" fontId="4" fillId="0" borderId="0" xfId="0" applyNumberFormat="1" applyFont="1"/>
    <xf numFmtId="168" fontId="5" fillId="0" borderId="1" xfId="1" applyNumberFormat="1" applyFont="1" applyFill="1" applyBorder="1"/>
    <xf numFmtId="165" fontId="8" fillId="0" borderId="1" xfId="1" applyFont="1" applyFill="1" applyBorder="1"/>
    <xf numFmtId="4" fontId="5" fillId="0" borderId="0" xfId="0" applyNumberFormat="1" applyFont="1"/>
    <xf numFmtId="4" fontId="9" fillId="0" borderId="0" xfId="0" applyNumberFormat="1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5" fillId="0" borderId="0" xfId="0" applyFont="1"/>
    <xf numFmtId="165" fontId="15" fillId="0" borderId="1" xfId="1" applyFont="1" applyBorder="1"/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165" fontId="15" fillId="0" borderId="1" xfId="1" applyFont="1" applyBorder="1" applyAlignment="1">
      <alignment vertical="center"/>
    </xf>
    <xf numFmtId="165" fontId="15" fillId="0" borderId="1" xfId="1" applyFont="1" applyFill="1" applyBorder="1" applyAlignment="1">
      <alignment vertical="center"/>
    </xf>
    <xf numFmtId="43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165" fontId="17" fillId="0" borderId="1" xfId="1" applyFont="1" applyBorder="1" applyAlignment="1">
      <alignment vertical="center"/>
    </xf>
    <xf numFmtId="165" fontId="17" fillId="0" borderId="1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3" fontId="17" fillId="0" borderId="1" xfId="0" applyNumberFormat="1" applyFont="1" applyBorder="1" applyAlignment="1">
      <alignment vertical="center"/>
    </xf>
    <xf numFmtId="43" fontId="15" fillId="0" borderId="1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170" fontId="5" fillId="5" borderId="2" xfId="4" applyNumberFormat="1" applyFont="1" applyFill="1" applyBorder="1" applyAlignment="1">
      <alignment vertical="center"/>
    </xf>
    <xf numFmtId="170" fontId="18" fillId="5" borderId="2" xfId="4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5" fontId="23" fillId="3" borderId="9" xfId="8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0" xfId="0" applyFont="1"/>
    <xf numFmtId="165" fontId="24" fillId="0" borderId="1" xfId="1" applyFont="1" applyFill="1" applyBorder="1"/>
    <xf numFmtId="43" fontId="21" fillId="0" borderId="0" xfId="0" applyNumberFormat="1" applyFont="1"/>
    <xf numFmtId="0" fontId="21" fillId="0" borderId="0" xfId="0" applyFont="1" applyAlignment="1">
      <alignment horizontal="left" indent="1"/>
    </xf>
    <xf numFmtId="0" fontId="26" fillId="0" borderId="0" xfId="0" applyFont="1"/>
    <xf numFmtId="0" fontId="27" fillId="0" borderId="0" xfId="0" applyFont="1"/>
    <xf numFmtId="0" fontId="19" fillId="0" borderId="0" xfId="0" applyFont="1"/>
    <xf numFmtId="0" fontId="20" fillId="0" borderId="0" xfId="0" applyFont="1"/>
    <xf numFmtId="165" fontId="15" fillId="0" borderId="0" xfId="1" applyFont="1" applyBorder="1"/>
    <xf numFmtId="0" fontId="6" fillId="0" borderId="1" xfId="0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18" fillId="0" borderId="1" xfId="0" applyNumberFormat="1" applyFont="1" applyBorder="1" applyAlignment="1">
      <alignment vertical="center"/>
    </xf>
    <xf numFmtId="165" fontId="6" fillId="0" borderId="1" xfId="1" applyFont="1" applyFill="1" applyBorder="1" applyAlignment="1">
      <alignment horizontal="center" vertical="center" wrapText="1"/>
    </xf>
    <xf numFmtId="0" fontId="15" fillId="0" borderId="5" xfId="0" applyFont="1" applyBorder="1"/>
    <xf numFmtId="165" fontId="15" fillId="0" borderId="15" xfId="1" applyFont="1" applyBorder="1"/>
    <xf numFmtId="165" fontId="15" fillId="0" borderId="2" xfId="1" applyFont="1" applyBorder="1"/>
    <xf numFmtId="165" fontId="15" fillId="0" borderId="3" xfId="1" applyFont="1" applyBorder="1"/>
    <xf numFmtId="165" fontId="15" fillId="0" borderId="4" xfId="1" applyFont="1" applyBorder="1"/>
    <xf numFmtId="0" fontId="28" fillId="0" borderId="0" xfId="0" applyFont="1"/>
    <xf numFmtId="165" fontId="15" fillId="0" borderId="0" xfId="0" applyNumberFormat="1" applyFont="1"/>
    <xf numFmtId="0" fontId="29" fillId="0" borderId="0" xfId="0" applyFont="1"/>
    <xf numFmtId="0" fontId="30" fillId="0" borderId="0" xfId="0" applyFont="1"/>
    <xf numFmtId="165" fontId="18" fillId="0" borderId="1" xfId="1" applyFont="1" applyFill="1" applyBorder="1" applyAlignment="1">
      <alignment horizontal="center" vertical="center" wrapText="1"/>
    </xf>
    <xf numFmtId="0" fontId="2" fillId="0" borderId="0" xfId="2" applyFont="1"/>
    <xf numFmtId="0" fontId="6" fillId="5" borderId="19" xfId="2" applyFont="1" applyFill="1" applyBorder="1" applyAlignment="1">
      <alignment vertical="center"/>
    </xf>
    <xf numFmtId="4" fontId="6" fillId="5" borderId="22" xfId="2" applyNumberFormat="1" applyFont="1" applyFill="1" applyBorder="1" applyAlignment="1">
      <alignment vertical="center"/>
    </xf>
    <xf numFmtId="4" fontId="6" fillId="5" borderId="23" xfId="2" applyNumberFormat="1" applyFont="1" applyFill="1" applyBorder="1" applyAlignment="1">
      <alignment vertical="center"/>
    </xf>
    <xf numFmtId="4" fontId="18" fillId="5" borderId="12" xfId="2" applyNumberFormat="1" applyFont="1" applyFill="1" applyBorder="1" applyAlignment="1">
      <alignment vertical="center"/>
    </xf>
    <xf numFmtId="4" fontId="18" fillId="5" borderId="14" xfId="2" applyNumberFormat="1" applyFont="1" applyFill="1" applyBorder="1" applyAlignment="1">
      <alignment vertical="center"/>
    </xf>
    <xf numFmtId="0" fontId="31" fillId="0" borderId="0" xfId="2" applyFont="1"/>
    <xf numFmtId="0" fontId="10" fillId="0" borderId="0" xfId="2" applyFont="1"/>
    <xf numFmtId="0" fontId="33" fillId="0" borderId="0" xfId="2" applyFont="1"/>
    <xf numFmtId="0" fontId="34" fillId="0" borderId="0" xfId="0" applyFont="1" applyAlignment="1">
      <alignment vertical="center"/>
    </xf>
    <xf numFmtId="171" fontId="15" fillId="0" borderId="0" xfId="0" applyNumberFormat="1" applyFont="1"/>
    <xf numFmtId="172" fontId="15" fillId="0" borderId="0" xfId="0" applyNumberFormat="1" applyFont="1"/>
    <xf numFmtId="0" fontId="19" fillId="0" borderId="0" xfId="0" applyFont="1" applyAlignment="1">
      <alignment horizontal="left" vertical="center"/>
    </xf>
    <xf numFmtId="0" fontId="33" fillId="0" borderId="0" xfId="0" applyFont="1"/>
    <xf numFmtId="165" fontId="33" fillId="0" borderId="0" xfId="1" applyFont="1"/>
    <xf numFmtId="165" fontId="18" fillId="0" borderId="0" xfId="1" applyFont="1"/>
    <xf numFmtId="165" fontId="6" fillId="0" borderId="2" xfId="1" applyFont="1" applyBorder="1"/>
    <xf numFmtId="4" fontId="6" fillId="0" borderId="24" xfId="0" applyNumberFormat="1" applyFont="1" applyBorder="1"/>
    <xf numFmtId="43" fontId="18" fillId="0" borderId="1" xfId="0" applyNumberFormat="1" applyFont="1" applyBorder="1"/>
    <xf numFmtId="4" fontId="33" fillId="0" borderId="24" xfId="0" applyNumberFormat="1" applyFont="1" applyBorder="1"/>
    <xf numFmtId="165" fontId="15" fillId="0" borderId="0" xfId="1" applyFont="1"/>
    <xf numFmtId="165" fontId="28" fillId="0" borderId="0" xfId="1" applyFont="1"/>
    <xf numFmtId="165" fontId="28" fillId="0" borderId="1" xfId="1" applyFont="1" applyBorder="1" applyAlignment="1">
      <alignment vertical="center" wrapText="1"/>
    </xf>
    <xf numFmtId="165" fontId="28" fillId="7" borderId="1" xfId="1" applyFont="1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" fillId="0" borderId="24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165" fontId="5" fillId="7" borderId="1" xfId="1" applyFont="1" applyFill="1" applyBorder="1"/>
    <xf numFmtId="165" fontId="17" fillId="0" borderId="0" xfId="1" applyFont="1"/>
    <xf numFmtId="0" fontId="6" fillId="0" borderId="24" xfId="0" applyFont="1" applyBorder="1"/>
    <xf numFmtId="165" fontId="20" fillId="0" borderId="0" xfId="1" applyFont="1"/>
    <xf numFmtId="0" fontId="35" fillId="0" borderId="0" xfId="0" applyFont="1" applyAlignment="1">
      <alignment vertical="center"/>
    </xf>
    <xf numFmtId="169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9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171" fontId="15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0" fontId="15" fillId="4" borderId="0" xfId="0" applyFont="1" applyFill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165" fontId="25" fillId="0" borderId="1" xfId="1" applyFont="1" applyBorder="1" applyAlignment="1">
      <alignment vertical="center"/>
    </xf>
    <xf numFmtId="43" fontId="25" fillId="0" borderId="1" xfId="0" applyNumberFormat="1" applyFont="1" applyBorder="1" applyAlignment="1">
      <alignment vertical="center"/>
    </xf>
    <xf numFmtId="165" fontId="25" fillId="0" borderId="1" xfId="1" applyFont="1" applyFill="1" applyBorder="1" applyAlignment="1">
      <alignment vertical="center"/>
    </xf>
    <xf numFmtId="165" fontId="36" fillId="0" borderId="1" xfId="1" applyFont="1" applyFill="1" applyBorder="1" applyAlignment="1">
      <alignment vertical="center"/>
    </xf>
    <xf numFmtId="165" fontId="36" fillId="0" borderId="1" xfId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0" fontId="13" fillId="9" borderId="1" xfId="4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165" fontId="6" fillId="0" borderId="1" xfId="8" applyFont="1" applyFill="1" applyBorder="1" applyAlignment="1">
      <alignment horizontal="center" vertical="center"/>
    </xf>
  </cellXfs>
  <cellStyles count="11">
    <cellStyle name="Migliaia" xfId="1" builtinId="3"/>
    <cellStyle name="Migliaia [0] 2" xfId="4" xr:uid="{00000000-0005-0000-0000-000001000000}"/>
    <cellStyle name="Migliaia [0] 3" xfId="9" xr:uid="{00000000-0005-0000-0000-000002000000}"/>
    <cellStyle name="Migliaia 2" xfId="3" xr:uid="{00000000-0005-0000-0000-000003000000}"/>
    <cellStyle name="Migliaia 3" xfId="6" xr:uid="{00000000-0005-0000-0000-000004000000}"/>
    <cellStyle name="Migliaia 4" xfId="8" xr:uid="{00000000-0005-0000-0000-000005000000}"/>
    <cellStyle name="Migliaia 5" xfId="10" xr:uid="{00000000-0005-0000-0000-000006000000}"/>
    <cellStyle name="Neutrale 2" xfId="5" xr:uid="{00000000-0005-0000-0000-000007000000}"/>
    <cellStyle name="Normale" xfId="0" builtinId="0"/>
    <cellStyle name="Normale 2" xfId="2" xr:uid="{00000000-0005-0000-0000-000009000000}"/>
    <cellStyle name="Normale 3" xfId="7" xr:uid="{00000000-0005-0000-0000-00000A000000}"/>
  </cellStyles>
  <dxfs count="0"/>
  <tableStyles count="0" defaultTableStyle="TableStyleMedium2" defaultPivotStyle="PivotStyleLight16"/>
  <colors>
    <mruColors>
      <color rgb="FF33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CC3C-8B88-4CF4-962B-677937A2042D}">
  <dimension ref="A1:W35"/>
  <sheetViews>
    <sheetView workbookViewId="0">
      <selection activeCell="B30" sqref="B30"/>
    </sheetView>
  </sheetViews>
  <sheetFormatPr defaultColWidth="8.7265625" defaultRowHeight="14"/>
  <cols>
    <col min="1" max="1" width="8.7265625" style="64"/>
    <col min="2" max="2" width="42.1796875" style="64" bestFit="1" customWidth="1"/>
    <col min="3" max="3" width="20.453125" style="64" hidden="1" customWidth="1"/>
    <col min="4" max="4" width="21.7265625" style="64" hidden="1" customWidth="1"/>
    <col min="5" max="5" width="9.54296875" style="64" hidden="1" customWidth="1"/>
    <col min="6" max="6" width="11" style="64" hidden="1" customWidth="1"/>
    <col min="7" max="7" width="9.26953125" style="64" hidden="1" customWidth="1"/>
    <col min="8" max="8" width="9.54296875" style="64" hidden="1" customWidth="1"/>
    <col min="9" max="9" width="10.54296875" style="64" hidden="1" customWidth="1"/>
    <col min="10" max="10" width="14" style="64" hidden="1" customWidth="1"/>
    <col min="11" max="11" width="14.26953125" style="64" hidden="1" customWidth="1"/>
    <col min="12" max="12" width="10.54296875" style="64" hidden="1" customWidth="1"/>
    <col min="13" max="14" width="9.54296875" style="64" hidden="1" customWidth="1"/>
    <col min="15" max="15" width="18.54296875" style="64" hidden="1" customWidth="1"/>
    <col min="16" max="16" width="16.7265625" style="64" bestFit="1" customWidth="1"/>
    <col min="17" max="17" width="14.1796875" style="64" customWidth="1"/>
    <col min="18" max="18" width="12" style="64" bestFit="1" customWidth="1"/>
    <col min="19" max="16384" width="8.7265625" style="64"/>
  </cols>
  <sheetData>
    <row r="1" spans="1:23" s="81" customFormat="1" ht="18">
      <c r="A1" s="80" t="s">
        <v>274</v>
      </c>
      <c r="B1" s="80"/>
    </row>
    <row r="2" spans="1:23">
      <c r="A2" s="82" t="s">
        <v>282</v>
      </c>
      <c r="R2" s="17" t="s">
        <v>258</v>
      </c>
    </row>
    <row r="4" spans="1:23" ht="41.25" customHeight="1">
      <c r="A4" s="21" t="s">
        <v>120</v>
      </c>
      <c r="B4" s="21" t="s">
        <v>63</v>
      </c>
      <c r="C4" s="65" t="s">
        <v>224</v>
      </c>
      <c r="D4" s="65" t="s">
        <v>245</v>
      </c>
      <c r="E4" s="65" t="s">
        <v>199</v>
      </c>
      <c r="F4" s="65" t="s">
        <v>225</v>
      </c>
      <c r="G4" s="65" t="s">
        <v>226</v>
      </c>
      <c r="H4" s="65" t="s">
        <v>227</v>
      </c>
      <c r="I4" s="65" t="s">
        <v>231</v>
      </c>
      <c r="J4" s="65" t="s">
        <v>232</v>
      </c>
      <c r="K4" s="65" t="s">
        <v>228</v>
      </c>
      <c r="L4" s="65" t="s">
        <v>283</v>
      </c>
      <c r="M4" s="65" t="s">
        <v>284</v>
      </c>
      <c r="N4" s="65" t="s">
        <v>204</v>
      </c>
      <c r="O4" s="65" t="s">
        <v>229</v>
      </c>
      <c r="P4" s="26" t="s">
        <v>277</v>
      </c>
      <c r="Q4" s="27" t="s">
        <v>257</v>
      </c>
    </row>
    <row r="5" spans="1:23">
      <c r="A5" s="100" t="s">
        <v>127</v>
      </c>
      <c r="B5" s="66" t="s">
        <v>261</v>
      </c>
      <c r="C5" s="67">
        <v>11838.26</v>
      </c>
      <c r="D5" s="67">
        <f>7.53*13</f>
        <v>97.89</v>
      </c>
      <c r="E5" s="67">
        <v>6236.52</v>
      </c>
      <c r="F5" s="67">
        <f>C5/12</f>
        <v>986.52166666666665</v>
      </c>
      <c r="G5" s="67">
        <f>E5/12</f>
        <v>519.71</v>
      </c>
      <c r="H5" s="67">
        <v>1246.1600000000001</v>
      </c>
      <c r="I5" s="68"/>
      <c r="J5" s="68"/>
      <c r="K5" s="68">
        <f t="shared" ref="K5:K35" si="0">SUM(C5:J5)</f>
        <v>20925.061666666665</v>
      </c>
      <c r="L5" s="67">
        <f>K5*0.242</f>
        <v>5063.8649233333326</v>
      </c>
      <c r="M5" s="67">
        <f>((C5+F5+D5+G5+E5+H5)*0.8)*0.071</f>
        <v>1188.5435026666667</v>
      </c>
      <c r="N5" s="67">
        <f>K5*0.085</f>
        <v>1778.6302416666667</v>
      </c>
      <c r="O5" s="67">
        <f t="shared" ref="O5:O35" si="1">M5+L5+K5</f>
        <v>27177.470092666663</v>
      </c>
      <c r="P5" s="78">
        <f>N5+M5+L5+K5</f>
        <v>28956.100334333329</v>
      </c>
      <c r="Q5" s="79">
        <f>P5/1584</f>
        <v>18.280366372685183</v>
      </c>
      <c r="R5" s="69"/>
      <c r="W5" s="70"/>
    </row>
    <row r="6" spans="1:23">
      <c r="A6" s="100" t="s">
        <v>128</v>
      </c>
      <c r="B6" s="71" t="s">
        <v>129</v>
      </c>
      <c r="C6" s="67">
        <v>12871.37</v>
      </c>
      <c r="D6" s="67">
        <f>7.98*13</f>
        <v>103.74000000000001</v>
      </c>
      <c r="E6" s="67">
        <v>6291.14</v>
      </c>
      <c r="F6" s="67">
        <f t="shared" ref="F6:F35" si="2">C6/12</f>
        <v>1072.6141666666667</v>
      </c>
      <c r="G6" s="67">
        <v>524.28</v>
      </c>
      <c r="H6" s="67">
        <v>1246.1600000000001</v>
      </c>
      <c r="I6" s="68"/>
      <c r="J6" s="68"/>
      <c r="K6" s="68">
        <f t="shared" si="0"/>
        <v>22109.304166666665</v>
      </c>
      <c r="L6" s="67">
        <f t="shared" ref="L6:L35" si="3">K6*0.242</f>
        <v>5350.4516083333328</v>
      </c>
      <c r="M6" s="67">
        <f t="shared" ref="M6:M35" si="4">((C6+F6+D6+G6+E6+H6)*0.8)*0.071</f>
        <v>1255.8084766666668</v>
      </c>
      <c r="N6" s="67">
        <f t="shared" ref="N6:N35" si="5">K6*0.085</f>
        <v>1879.2908541666666</v>
      </c>
      <c r="O6" s="67">
        <f t="shared" si="1"/>
        <v>28715.564251666663</v>
      </c>
      <c r="P6" s="78">
        <f t="shared" ref="P6:P35" si="6">N6+M6+L6+K6</f>
        <v>30594.855105833332</v>
      </c>
      <c r="Q6" s="79">
        <f t="shared" ref="Q6:Q35" si="7">P6/1584</f>
        <v>19.314933778935185</v>
      </c>
      <c r="R6" s="69"/>
      <c r="W6" s="70"/>
    </row>
    <row r="7" spans="1:23">
      <c r="A7" s="100" t="s">
        <v>130</v>
      </c>
      <c r="B7" s="71" t="s">
        <v>131</v>
      </c>
      <c r="C7" s="67">
        <v>13634.51</v>
      </c>
      <c r="D7" s="67">
        <f>13*8.32</f>
        <v>108.16</v>
      </c>
      <c r="E7" s="67">
        <v>6332.96</v>
      </c>
      <c r="F7" s="67">
        <f t="shared" si="2"/>
        <v>1136.2091666666668</v>
      </c>
      <c r="G7" s="67">
        <v>527.75</v>
      </c>
      <c r="H7" s="67">
        <v>1246.1600000000001</v>
      </c>
      <c r="I7" s="68"/>
      <c r="J7" s="68"/>
      <c r="K7" s="68">
        <f t="shared" si="0"/>
        <v>22985.749166666668</v>
      </c>
      <c r="L7" s="67">
        <f t="shared" si="3"/>
        <v>5562.5512983333338</v>
      </c>
      <c r="M7" s="67">
        <f t="shared" si="4"/>
        <v>1305.5905526666668</v>
      </c>
      <c r="N7" s="67">
        <f t="shared" si="5"/>
        <v>1953.788679166667</v>
      </c>
      <c r="O7" s="67">
        <f t="shared" si="1"/>
        <v>29853.891017666669</v>
      </c>
      <c r="P7" s="78">
        <f t="shared" si="6"/>
        <v>31807.679696833336</v>
      </c>
      <c r="Q7" s="79">
        <f t="shared" si="7"/>
        <v>20.080605869212963</v>
      </c>
      <c r="W7" s="70"/>
    </row>
    <row r="8" spans="1:23">
      <c r="A8" s="100" t="s">
        <v>132</v>
      </c>
      <c r="B8" s="71" t="s">
        <v>133</v>
      </c>
      <c r="C8" s="67">
        <v>14480.12</v>
      </c>
      <c r="D8" s="67">
        <f>8.67*13</f>
        <v>112.71</v>
      </c>
      <c r="E8" s="67">
        <v>6332.96</v>
      </c>
      <c r="F8" s="67">
        <f t="shared" si="2"/>
        <v>1206.6766666666667</v>
      </c>
      <c r="G8" s="67">
        <v>527.75</v>
      </c>
      <c r="H8" s="67">
        <v>1246.1600000000001</v>
      </c>
      <c r="I8" s="68"/>
      <c r="J8" s="68"/>
      <c r="K8" s="68">
        <f t="shared" si="0"/>
        <v>23906.376666666667</v>
      </c>
      <c r="L8" s="67">
        <f t="shared" si="3"/>
        <v>5785.3431533333332</v>
      </c>
      <c r="M8" s="67">
        <f t="shared" si="4"/>
        <v>1357.8821946666667</v>
      </c>
      <c r="N8" s="67">
        <f t="shared" si="5"/>
        <v>2032.0420166666668</v>
      </c>
      <c r="O8" s="67">
        <f t="shared" si="1"/>
        <v>31049.602014666667</v>
      </c>
      <c r="P8" s="78">
        <f t="shared" si="6"/>
        <v>33081.64403133333</v>
      </c>
      <c r="Q8" s="79">
        <f t="shared" si="7"/>
        <v>20.884876282407404</v>
      </c>
      <c r="W8" s="70"/>
    </row>
    <row r="9" spans="1:23">
      <c r="A9" s="100" t="s">
        <v>182</v>
      </c>
      <c r="B9" s="71" t="s">
        <v>262</v>
      </c>
      <c r="C9" s="67">
        <v>15251.26</v>
      </c>
      <c r="D9" s="67">
        <f>13*8.99</f>
        <v>116.87</v>
      </c>
      <c r="E9" s="67">
        <v>6332.96</v>
      </c>
      <c r="F9" s="67">
        <f t="shared" si="2"/>
        <v>1270.9383333333333</v>
      </c>
      <c r="G9" s="67">
        <v>527.75</v>
      </c>
      <c r="H9" s="67">
        <v>1246.1600000000001</v>
      </c>
      <c r="I9" s="68"/>
      <c r="J9" s="68"/>
      <c r="K9" s="68">
        <f t="shared" si="0"/>
        <v>24745.938333333332</v>
      </c>
      <c r="L9" s="67">
        <f t="shared" si="3"/>
        <v>5988.5170766666661</v>
      </c>
      <c r="M9" s="67">
        <f t="shared" si="4"/>
        <v>1405.5692973333332</v>
      </c>
      <c r="N9" s="67">
        <f t="shared" si="5"/>
        <v>2103.4047583333331</v>
      </c>
      <c r="O9" s="67">
        <f t="shared" si="1"/>
        <v>32140.02470733333</v>
      </c>
      <c r="P9" s="78">
        <f t="shared" si="6"/>
        <v>34243.429465666661</v>
      </c>
      <c r="Q9" s="79">
        <f t="shared" si="7"/>
        <v>21.618326682870368</v>
      </c>
      <c r="W9" s="70"/>
    </row>
    <row r="10" spans="1:23">
      <c r="A10" s="100" t="s">
        <v>183</v>
      </c>
      <c r="B10" s="71" t="s">
        <v>263</v>
      </c>
      <c r="C10" s="67">
        <v>16046.44</v>
      </c>
      <c r="D10" s="67">
        <f>13*9.32</f>
        <v>121.16</v>
      </c>
      <c r="E10" s="67">
        <v>6332.96</v>
      </c>
      <c r="F10" s="67">
        <f t="shared" si="2"/>
        <v>1337.2033333333334</v>
      </c>
      <c r="G10" s="67">
        <v>527.75</v>
      </c>
      <c r="H10" s="67">
        <v>1246.1600000000001</v>
      </c>
      <c r="I10" s="68"/>
      <c r="J10" s="68"/>
      <c r="K10" s="68">
        <f t="shared" si="0"/>
        <v>25611.673333333336</v>
      </c>
      <c r="L10" s="67">
        <f t="shared" si="3"/>
        <v>6198.0249466666673</v>
      </c>
      <c r="M10" s="67">
        <f t="shared" si="4"/>
        <v>1454.7430453333332</v>
      </c>
      <c r="N10" s="67">
        <f t="shared" si="5"/>
        <v>2176.9922333333338</v>
      </c>
      <c r="O10" s="67">
        <f t="shared" si="1"/>
        <v>33264.441325333333</v>
      </c>
      <c r="P10" s="78">
        <f t="shared" si="6"/>
        <v>35441.433558666671</v>
      </c>
      <c r="Q10" s="79">
        <f t="shared" si="7"/>
        <v>22.374642398148151</v>
      </c>
      <c r="W10" s="70"/>
    </row>
    <row r="11" spans="1:23">
      <c r="A11" s="100" t="s">
        <v>222</v>
      </c>
      <c r="B11" s="71" t="s">
        <v>270</v>
      </c>
      <c r="C11" s="67">
        <v>16597.759999999998</v>
      </c>
      <c r="D11" s="67">
        <f>13*9.55</f>
        <v>124.15</v>
      </c>
      <c r="E11" s="67">
        <v>6332.96</v>
      </c>
      <c r="F11" s="67">
        <f t="shared" si="2"/>
        <v>1383.1466666666665</v>
      </c>
      <c r="G11" s="67">
        <v>527.75</v>
      </c>
      <c r="H11" s="67">
        <v>1209.06</v>
      </c>
      <c r="I11" s="68"/>
      <c r="J11" s="68"/>
      <c r="K11" s="68">
        <f t="shared" si="0"/>
        <v>26174.826666666668</v>
      </c>
      <c r="L11" s="67">
        <f t="shared" si="3"/>
        <v>6334.3080533333332</v>
      </c>
      <c r="M11" s="67">
        <f t="shared" si="4"/>
        <v>1486.7301546666665</v>
      </c>
      <c r="N11" s="67">
        <f t="shared" si="5"/>
        <v>2224.860266666667</v>
      </c>
      <c r="O11" s="67">
        <f t="shared" si="1"/>
        <v>33995.864874666666</v>
      </c>
      <c r="P11" s="78">
        <f t="shared" si="6"/>
        <v>36220.725141333336</v>
      </c>
      <c r="Q11" s="79">
        <f t="shared" si="7"/>
        <v>22.866619407407409</v>
      </c>
      <c r="W11" s="70"/>
    </row>
    <row r="12" spans="1:23" s="74" customFormat="1">
      <c r="A12" s="100" t="s">
        <v>134</v>
      </c>
      <c r="B12" s="71" t="s">
        <v>135</v>
      </c>
      <c r="C12" s="72">
        <v>14193.96</v>
      </c>
      <c r="D12" s="72">
        <f>13*8.57</f>
        <v>111.41</v>
      </c>
      <c r="E12" s="72">
        <v>6372.64</v>
      </c>
      <c r="F12" s="72">
        <f t="shared" si="2"/>
        <v>1182.83</v>
      </c>
      <c r="G12" s="72">
        <v>531.04999999999995</v>
      </c>
      <c r="H12" s="72">
        <v>1693.97</v>
      </c>
      <c r="I12" s="73"/>
      <c r="J12" s="73"/>
      <c r="K12" s="73">
        <f t="shared" si="0"/>
        <v>24085.859999999997</v>
      </c>
      <c r="L12" s="72">
        <f t="shared" si="3"/>
        <v>5828.778119999999</v>
      </c>
      <c r="M12" s="72">
        <f t="shared" si="4"/>
        <v>1368.0768479999999</v>
      </c>
      <c r="N12" s="72">
        <f t="shared" si="5"/>
        <v>2047.2981</v>
      </c>
      <c r="O12" s="67">
        <f t="shared" si="1"/>
        <v>31282.714967999997</v>
      </c>
      <c r="P12" s="78">
        <f t="shared" si="6"/>
        <v>33330.013068</v>
      </c>
      <c r="Q12" s="79">
        <f t="shared" si="7"/>
        <v>21.041674916666668</v>
      </c>
      <c r="W12" s="70"/>
    </row>
    <row r="13" spans="1:23">
      <c r="A13" s="100" t="s">
        <v>136</v>
      </c>
      <c r="B13" s="71" t="s">
        <v>137</v>
      </c>
      <c r="C13" s="67">
        <v>14579.96</v>
      </c>
      <c r="D13" s="67">
        <f>8.73*13</f>
        <v>113.49000000000001</v>
      </c>
      <c r="E13" s="67">
        <v>6372.64</v>
      </c>
      <c r="F13" s="67">
        <f t="shared" si="2"/>
        <v>1214.9966666666667</v>
      </c>
      <c r="G13" s="67">
        <v>531.04999999999995</v>
      </c>
      <c r="H13" s="67">
        <v>1693.97</v>
      </c>
      <c r="I13" s="68"/>
      <c r="J13" s="68"/>
      <c r="K13" s="68">
        <f t="shared" si="0"/>
        <v>24506.106666666667</v>
      </c>
      <c r="L13" s="67">
        <f t="shared" si="3"/>
        <v>5930.477813333333</v>
      </c>
      <c r="M13" s="67">
        <f t="shared" si="4"/>
        <v>1391.9468586666667</v>
      </c>
      <c r="N13" s="67">
        <f t="shared" si="5"/>
        <v>2083.0190666666667</v>
      </c>
      <c r="O13" s="67">
        <f t="shared" si="1"/>
        <v>31828.531338666668</v>
      </c>
      <c r="P13" s="78">
        <f t="shared" si="6"/>
        <v>33911.550405333335</v>
      </c>
      <c r="Q13" s="79">
        <f t="shared" si="7"/>
        <v>21.408807074074076</v>
      </c>
      <c r="W13" s="70"/>
    </row>
    <row r="14" spans="1:23">
      <c r="A14" s="100" t="s">
        <v>138</v>
      </c>
      <c r="B14" s="71" t="s">
        <v>139</v>
      </c>
      <c r="C14" s="67">
        <v>15380.36</v>
      </c>
      <c r="D14" s="67">
        <f>13*9.06</f>
        <v>117.78</v>
      </c>
      <c r="E14" s="67">
        <v>6372.64</v>
      </c>
      <c r="F14" s="67">
        <f t="shared" si="2"/>
        <v>1281.6966666666667</v>
      </c>
      <c r="G14" s="67">
        <v>531.04999999999995</v>
      </c>
      <c r="H14" s="67">
        <v>1693.97</v>
      </c>
      <c r="I14" s="68"/>
      <c r="J14" s="68"/>
      <c r="K14" s="68">
        <f t="shared" si="0"/>
        <v>25377.49666666667</v>
      </c>
      <c r="L14" s="67">
        <f t="shared" si="3"/>
        <v>6141.3541933333336</v>
      </c>
      <c r="M14" s="67">
        <f t="shared" si="4"/>
        <v>1441.4418106666665</v>
      </c>
      <c r="N14" s="67">
        <f t="shared" si="5"/>
        <v>2157.0872166666672</v>
      </c>
      <c r="O14" s="67">
        <f t="shared" si="1"/>
        <v>32960.292670666669</v>
      </c>
      <c r="P14" s="78">
        <f t="shared" si="6"/>
        <v>35117.379887333336</v>
      </c>
      <c r="Q14" s="79">
        <f t="shared" si="7"/>
        <v>22.170063060185186</v>
      </c>
      <c r="W14" s="70"/>
    </row>
    <row r="15" spans="1:23">
      <c r="A15" s="100" t="s">
        <v>140</v>
      </c>
      <c r="B15" s="71" t="s">
        <v>141</v>
      </c>
      <c r="C15" s="67">
        <v>16381</v>
      </c>
      <c r="D15" s="67">
        <f>13*9.51</f>
        <v>123.63</v>
      </c>
      <c r="E15" s="67">
        <v>6450.08</v>
      </c>
      <c r="F15" s="67">
        <f t="shared" si="2"/>
        <v>1365.0833333333333</v>
      </c>
      <c r="G15" s="67">
        <v>537.51</v>
      </c>
      <c r="H15" s="67">
        <v>1693.97</v>
      </c>
      <c r="I15" s="68"/>
      <c r="J15" s="68"/>
      <c r="K15" s="68">
        <f t="shared" si="0"/>
        <v>26551.273333333331</v>
      </c>
      <c r="L15" s="67">
        <f t="shared" si="3"/>
        <v>6425.4081466666657</v>
      </c>
      <c r="M15" s="67">
        <f t="shared" si="4"/>
        <v>1508.1123253333333</v>
      </c>
      <c r="N15" s="67">
        <f t="shared" si="5"/>
        <v>2256.8582333333334</v>
      </c>
      <c r="O15" s="67">
        <f t="shared" si="1"/>
        <v>34484.793805333327</v>
      </c>
      <c r="P15" s="78">
        <f t="shared" si="6"/>
        <v>36741.652038666667</v>
      </c>
      <c r="Q15" s="79">
        <f t="shared" si="7"/>
        <v>23.195487398148149</v>
      </c>
      <c r="W15" s="70"/>
    </row>
    <row r="16" spans="1:23">
      <c r="A16" s="100" t="s">
        <v>142</v>
      </c>
      <c r="B16" s="71" t="s">
        <v>143</v>
      </c>
      <c r="C16" s="67">
        <v>17080.240000000002</v>
      </c>
      <c r="D16" s="67">
        <f>13*9.8</f>
        <v>127.4</v>
      </c>
      <c r="E16" s="67">
        <v>6450.08</v>
      </c>
      <c r="F16" s="67">
        <f t="shared" si="2"/>
        <v>1423.3533333333335</v>
      </c>
      <c r="G16" s="67">
        <v>537.51</v>
      </c>
      <c r="H16" s="67">
        <v>1693.97</v>
      </c>
      <c r="I16" s="68"/>
      <c r="J16" s="68"/>
      <c r="K16" s="68">
        <f t="shared" si="0"/>
        <v>27312.553333333333</v>
      </c>
      <c r="L16" s="67">
        <f t="shared" si="3"/>
        <v>6609.6379066666668</v>
      </c>
      <c r="M16" s="67">
        <f t="shared" si="4"/>
        <v>1551.3530293333336</v>
      </c>
      <c r="N16" s="67">
        <f t="shared" si="5"/>
        <v>2321.5670333333337</v>
      </c>
      <c r="O16" s="67">
        <f t="shared" si="1"/>
        <v>35473.544269333332</v>
      </c>
      <c r="P16" s="78">
        <f t="shared" si="6"/>
        <v>37795.111302666672</v>
      </c>
      <c r="Q16" s="79">
        <f t="shared" si="7"/>
        <v>23.860550064814817</v>
      </c>
      <c r="W16" s="70"/>
    </row>
    <row r="17" spans="1:23">
      <c r="A17" s="100" t="s">
        <v>184</v>
      </c>
      <c r="B17" s="71" t="s">
        <v>264</v>
      </c>
      <c r="C17" s="67">
        <v>17820.04</v>
      </c>
      <c r="D17" s="67">
        <f>13*10.11</f>
        <v>131.43</v>
      </c>
      <c r="E17" s="67">
        <v>6450.08</v>
      </c>
      <c r="F17" s="67">
        <f t="shared" si="2"/>
        <v>1485.0033333333333</v>
      </c>
      <c r="G17" s="67">
        <v>537.51</v>
      </c>
      <c r="H17" s="67">
        <v>1693.97</v>
      </c>
      <c r="I17" s="68"/>
      <c r="J17" s="68"/>
      <c r="K17" s="68">
        <f t="shared" si="0"/>
        <v>28118.033333333336</v>
      </c>
      <c r="L17" s="67">
        <f t="shared" si="3"/>
        <v>6804.5640666666668</v>
      </c>
      <c r="M17" s="67">
        <f t="shared" si="4"/>
        <v>1597.1042933333331</v>
      </c>
      <c r="N17" s="67">
        <f t="shared" si="5"/>
        <v>2390.0328333333337</v>
      </c>
      <c r="O17" s="67">
        <f t="shared" si="1"/>
        <v>36519.701693333336</v>
      </c>
      <c r="P17" s="78">
        <f t="shared" si="6"/>
        <v>38909.734526666667</v>
      </c>
      <c r="Q17" s="79">
        <f t="shared" si="7"/>
        <v>24.564226342592594</v>
      </c>
      <c r="W17" s="70"/>
    </row>
    <row r="18" spans="1:23">
      <c r="A18" s="100" t="s">
        <v>185</v>
      </c>
      <c r="B18" s="71" t="s">
        <v>265</v>
      </c>
      <c r="C18" s="67">
        <v>18577.54</v>
      </c>
      <c r="D18" s="67">
        <f>13*10.43</f>
        <v>135.59</v>
      </c>
      <c r="E18" s="67">
        <v>6450.08</v>
      </c>
      <c r="F18" s="67">
        <f t="shared" si="2"/>
        <v>1548.1283333333333</v>
      </c>
      <c r="G18" s="67">
        <v>537.51</v>
      </c>
      <c r="H18" s="67">
        <v>1693.97</v>
      </c>
      <c r="I18" s="68"/>
      <c r="J18" s="68"/>
      <c r="K18" s="68">
        <f t="shared" si="0"/>
        <v>28942.818333333333</v>
      </c>
      <c r="L18" s="67">
        <f t="shared" si="3"/>
        <v>7004.1620366666666</v>
      </c>
      <c r="M18" s="67">
        <f t="shared" si="4"/>
        <v>1643.9520813333336</v>
      </c>
      <c r="N18" s="67">
        <f t="shared" si="5"/>
        <v>2460.1395583333333</v>
      </c>
      <c r="O18" s="67">
        <f t="shared" si="1"/>
        <v>37590.932451333334</v>
      </c>
      <c r="P18" s="78">
        <f t="shared" si="6"/>
        <v>40051.072009666663</v>
      </c>
      <c r="Q18" s="79">
        <f t="shared" si="7"/>
        <v>25.284767682870367</v>
      </c>
      <c r="W18" s="70"/>
    </row>
    <row r="19" spans="1:23">
      <c r="A19" s="100" t="s">
        <v>223</v>
      </c>
      <c r="B19" s="71" t="s">
        <v>271</v>
      </c>
      <c r="C19" s="67">
        <f>19324.38</f>
        <v>19324.38</v>
      </c>
      <c r="D19" s="67">
        <f>13*10.74</f>
        <v>139.62</v>
      </c>
      <c r="E19" s="67">
        <v>6450.08</v>
      </c>
      <c r="F19" s="67">
        <f t="shared" si="2"/>
        <v>1610.365</v>
      </c>
      <c r="G19" s="67">
        <v>537.51</v>
      </c>
      <c r="H19" s="67">
        <v>1693.97</v>
      </c>
      <c r="I19" s="68"/>
      <c r="J19" s="68"/>
      <c r="K19" s="68">
        <f t="shared" si="0"/>
        <v>29755.925000000003</v>
      </c>
      <c r="L19" s="67">
        <f t="shared" si="3"/>
        <v>7200.9338500000003</v>
      </c>
      <c r="M19" s="67">
        <f t="shared" si="4"/>
        <v>1690.1365400000002</v>
      </c>
      <c r="N19" s="67">
        <f t="shared" si="5"/>
        <v>2529.2536250000003</v>
      </c>
      <c r="O19" s="67">
        <f t="shared" si="1"/>
        <v>38646.995390000004</v>
      </c>
      <c r="P19" s="78">
        <f t="shared" si="6"/>
        <v>41176.249015000009</v>
      </c>
      <c r="Q19" s="79">
        <f t="shared" si="7"/>
        <v>25.995106701388895</v>
      </c>
      <c r="W19" s="70"/>
    </row>
    <row r="20" spans="1:23" s="74" customFormat="1">
      <c r="A20" s="100" t="s">
        <v>144</v>
      </c>
      <c r="B20" s="71" t="s">
        <v>145</v>
      </c>
      <c r="C20" s="72">
        <v>17357.23</v>
      </c>
      <c r="D20" s="72">
        <f>13*9.96</f>
        <v>129.48000000000002</v>
      </c>
      <c r="E20" s="72">
        <v>6545.24</v>
      </c>
      <c r="F20" s="72">
        <f t="shared" si="2"/>
        <v>1446.4358333333332</v>
      </c>
      <c r="G20" s="75">
        <f>E20/12</f>
        <v>545.43666666666661</v>
      </c>
      <c r="H20" s="72">
        <v>2422.16</v>
      </c>
      <c r="I20" s="73"/>
      <c r="J20" s="73"/>
      <c r="K20" s="73">
        <f t="shared" si="0"/>
        <v>28445.982499999998</v>
      </c>
      <c r="L20" s="72">
        <f t="shared" si="3"/>
        <v>6883.9277649999995</v>
      </c>
      <c r="M20" s="72">
        <f t="shared" si="4"/>
        <v>1615.731806</v>
      </c>
      <c r="N20" s="72">
        <f t="shared" si="5"/>
        <v>2417.9085125000001</v>
      </c>
      <c r="O20" s="67">
        <f t="shared" si="1"/>
        <v>36945.642070999995</v>
      </c>
      <c r="P20" s="78">
        <f t="shared" si="6"/>
        <v>39363.550583499993</v>
      </c>
      <c r="Q20" s="79">
        <f t="shared" si="7"/>
        <v>24.850726378472217</v>
      </c>
      <c r="W20" s="70"/>
    </row>
    <row r="21" spans="1:23">
      <c r="A21" s="100" t="s">
        <v>146</v>
      </c>
      <c r="B21" s="71" t="s">
        <v>147</v>
      </c>
      <c r="C21" s="67">
        <v>18266.12</v>
      </c>
      <c r="D21" s="67">
        <f>13*10.34</f>
        <v>134.41999999999999</v>
      </c>
      <c r="E21" s="67">
        <v>6545.24</v>
      </c>
      <c r="F21" s="67">
        <f t="shared" si="2"/>
        <v>1522.1766666666665</v>
      </c>
      <c r="G21" s="76">
        <f t="shared" ref="G21:G28" si="8">E21/12</f>
        <v>545.43666666666661</v>
      </c>
      <c r="H21" s="67">
        <v>2422.16</v>
      </c>
      <c r="I21" s="68"/>
      <c r="J21" s="68"/>
      <c r="K21" s="68">
        <f t="shared" si="0"/>
        <v>29435.553333333333</v>
      </c>
      <c r="L21" s="67">
        <f t="shared" si="3"/>
        <v>7123.4039066666664</v>
      </c>
      <c r="M21" s="67">
        <f t="shared" si="4"/>
        <v>1671.9394293333335</v>
      </c>
      <c r="N21" s="67">
        <f t="shared" si="5"/>
        <v>2502.0220333333336</v>
      </c>
      <c r="O21" s="67">
        <f t="shared" si="1"/>
        <v>38230.896669333335</v>
      </c>
      <c r="P21" s="78">
        <f t="shared" si="6"/>
        <v>40732.918702666662</v>
      </c>
      <c r="Q21" s="79">
        <f t="shared" si="7"/>
        <v>25.7152264537037</v>
      </c>
      <c r="W21" s="70"/>
    </row>
    <row r="22" spans="1:23">
      <c r="A22" s="100" t="s">
        <v>148</v>
      </c>
      <c r="B22" s="71" t="s">
        <v>149</v>
      </c>
      <c r="C22" s="67">
        <v>19266.689999999999</v>
      </c>
      <c r="D22" s="67">
        <f>10.75*13</f>
        <v>139.75</v>
      </c>
      <c r="E22" s="67">
        <v>6545.24</v>
      </c>
      <c r="F22" s="67">
        <f t="shared" si="2"/>
        <v>1605.5574999999999</v>
      </c>
      <c r="G22" s="76">
        <f t="shared" si="8"/>
        <v>545.43666666666661</v>
      </c>
      <c r="H22" s="67">
        <v>2422.16</v>
      </c>
      <c r="I22" s="68"/>
      <c r="J22" s="68"/>
      <c r="K22" s="68">
        <f t="shared" si="0"/>
        <v>30524.834166666667</v>
      </c>
      <c r="L22" s="67">
        <f t="shared" si="3"/>
        <v>7387.0098683333335</v>
      </c>
      <c r="M22" s="67">
        <f t="shared" si="4"/>
        <v>1733.8105806666665</v>
      </c>
      <c r="N22" s="67">
        <f t="shared" si="5"/>
        <v>2594.6109041666668</v>
      </c>
      <c r="O22" s="67">
        <f t="shared" si="1"/>
        <v>39645.654615666666</v>
      </c>
      <c r="P22" s="78">
        <f t="shared" si="6"/>
        <v>42240.265519833338</v>
      </c>
      <c r="Q22" s="79">
        <f t="shared" si="7"/>
        <v>26.666834292824078</v>
      </c>
      <c r="W22" s="70"/>
    </row>
    <row r="23" spans="1:23">
      <c r="A23" s="100" t="s">
        <v>150</v>
      </c>
      <c r="B23" s="71" t="s">
        <v>151</v>
      </c>
      <c r="C23" s="67">
        <v>20578.240000000002</v>
      </c>
      <c r="D23" s="67">
        <f>13*11.3</f>
        <v>146.9</v>
      </c>
      <c r="E23" s="67">
        <v>6545.24</v>
      </c>
      <c r="F23" s="67">
        <f t="shared" si="2"/>
        <v>1714.8533333333335</v>
      </c>
      <c r="G23" s="76">
        <f t="shared" si="8"/>
        <v>545.43666666666661</v>
      </c>
      <c r="H23" s="67">
        <v>2422.16</v>
      </c>
      <c r="I23" s="68"/>
      <c r="J23" s="68"/>
      <c r="K23" s="68">
        <f t="shared" si="0"/>
        <v>31952.830000000005</v>
      </c>
      <c r="L23" s="67">
        <f t="shared" si="3"/>
        <v>7732.5848600000008</v>
      </c>
      <c r="M23" s="67">
        <f t="shared" si="4"/>
        <v>1814.9207440000002</v>
      </c>
      <c r="N23" s="67">
        <f t="shared" si="5"/>
        <v>2715.9905500000004</v>
      </c>
      <c r="O23" s="67">
        <f t="shared" si="1"/>
        <v>41500.335604000007</v>
      </c>
      <c r="P23" s="78">
        <f t="shared" si="6"/>
        <v>44216.326154000009</v>
      </c>
      <c r="Q23" s="79">
        <f t="shared" si="7"/>
        <v>27.914347319444449</v>
      </c>
      <c r="W23" s="70"/>
    </row>
    <row r="24" spans="1:23">
      <c r="A24" s="100" t="s">
        <v>152</v>
      </c>
      <c r="B24" s="71" t="s">
        <v>153</v>
      </c>
      <c r="C24" s="67">
        <v>21546.46</v>
      </c>
      <c r="D24" s="67">
        <f>11.7*13</f>
        <v>152.1</v>
      </c>
      <c r="E24" s="67">
        <v>6545.24</v>
      </c>
      <c r="F24" s="67">
        <f t="shared" si="2"/>
        <v>1795.5383333333332</v>
      </c>
      <c r="G24" s="76">
        <f t="shared" si="8"/>
        <v>545.43666666666661</v>
      </c>
      <c r="H24" s="67">
        <v>2422.16</v>
      </c>
      <c r="I24" s="68"/>
      <c r="J24" s="68"/>
      <c r="K24" s="68">
        <f t="shared" si="0"/>
        <v>33006.934999999998</v>
      </c>
      <c r="L24" s="67">
        <f t="shared" si="3"/>
        <v>7987.6782699999994</v>
      </c>
      <c r="M24" s="67">
        <f t="shared" si="4"/>
        <v>1874.7939079999996</v>
      </c>
      <c r="N24" s="67">
        <f t="shared" si="5"/>
        <v>2805.5894750000002</v>
      </c>
      <c r="O24" s="67">
        <f t="shared" si="1"/>
        <v>42869.407177999994</v>
      </c>
      <c r="P24" s="78">
        <f t="shared" si="6"/>
        <v>45674.996652999995</v>
      </c>
      <c r="Q24" s="79">
        <f t="shared" si="7"/>
        <v>28.835225159722217</v>
      </c>
      <c r="W24" s="70"/>
    </row>
    <row r="25" spans="1:23">
      <c r="A25" s="100" t="s">
        <v>186</v>
      </c>
      <c r="B25" s="71" t="s">
        <v>266</v>
      </c>
      <c r="C25" s="67">
        <v>22560.44</v>
      </c>
      <c r="D25" s="67">
        <f>13*12.13</f>
        <v>157.69</v>
      </c>
      <c r="E25" s="67">
        <v>6545.24</v>
      </c>
      <c r="F25" s="67">
        <f t="shared" si="2"/>
        <v>1880.0366666666666</v>
      </c>
      <c r="G25" s="76">
        <f t="shared" si="8"/>
        <v>545.43666666666661</v>
      </c>
      <c r="H25" s="67">
        <v>2422.16</v>
      </c>
      <c r="I25" s="68"/>
      <c r="J25" s="68"/>
      <c r="K25" s="68">
        <f t="shared" si="0"/>
        <v>34111.003333333327</v>
      </c>
      <c r="L25" s="67">
        <f t="shared" si="3"/>
        <v>8254.8628066666643</v>
      </c>
      <c r="M25" s="67">
        <f>((C25+F25+D25+G25+E25+H25)*0.8)*0.071</f>
        <v>1937.5049893333328</v>
      </c>
      <c r="N25" s="67">
        <f t="shared" si="5"/>
        <v>2899.4352833333328</v>
      </c>
      <c r="O25" s="67">
        <f t="shared" si="1"/>
        <v>44303.371129333325</v>
      </c>
      <c r="P25" s="78">
        <f t="shared" si="6"/>
        <v>47202.806412666658</v>
      </c>
      <c r="Q25" s="79">
        <f t="shared" si="7"/>
        <v>29.799751523148142</v>
      </c>
      <c r="W25" s="70"/>
    </row>
    <row r="26" spans="1:23">
      <c r="A26" s="100" t="s">
        <v>187</v>
      </c>
      <c r="B26" s="71" t="s">
        <v>267</v>
      </c>
      <c r="C26" s="67">
        <v>23616.82</v>
      </c>
      <c r="D26" s="67">
        <f>13*12.57</f>
        <v>163.41</v>
      </c>
      <c r="E26" s="67">
        <v>6545.24</v>
      </c>
      <c r="F26" s="67">
        <f t="shared" si="2"/>
        <v>1968.0683333333334</v>
      </c>
      <c r="G26" s="76">
        <f t="shared" si="8"/>
        <v>545.43666666666661</v>
      </c>
      <c r="H26" s="67">
        <v>2422.16</v>
      </c>
      <c r="I26" s="68"/>
      <c r="J26" s="68"/>
      <c r="K26" s="68">
        <f t="shared" si="0"/>
        <v>35261.134999999995</v>
      </c>
      <c r="L26" s="67">
        <f t="shared" si="3"/>
        <v>8533.194669999999</v>
      </c>
      <c r="M26" s="67">
        <f t="shared" si="4"/>
        <v>2002.8324679999996</v>
      </c>
      <c r="N26" s="67">
        <f t="shared" si="5"/>
        <v>2997.1964749999997</v>
      </c>
      <c r="O26" s="67">
        <f t="shared" si="1"/>
        <v>45797.162137999992</v>
      </c>
      <c r="P26" s="78">
        <f t="shared" si="6"/>
        <v>48794.358612999989</v>
      </c>
      <c r="Q26" s="79">
        <f t="shared" si="7"/>
        <v>30.804519326388881</v>
      </c>
      <c r="W26" s="70"/>
    </row>
    <row r="27" spans="1:23">
      <c r="A27" s="100" t="s">
        <v>216</v>
      </c>
      <c r="B27" s="71" t="s">
        <v>273</v>
      </c>
      <c r="C27" s="67">
        <v>24516.82</v>
      </c>
      <c r="D27" s="67">
        <f>13*12.94</f>
        <v>168.22</v>
      </c>
      <c r="E27" s="67">
        <v>6545.24</v>
      </c>
      <c r="F27" s="67">
        <f t="shared" si="2"/>
        <v>2043.0683333333334</v>
      </c>
      <c r="G27" s="76">
        <f t="shared" si="8"/>
        <v>545.43666666666661</v>
      </c>
      <c r="H27" s="67">
        <v>2422.16</v>
      </c>
      <c r="I27" s="68"/>
      <c r="J27" s="68"/>
      <c r="K27" s="68">
        <f t="shared" si="0"/>
        <v>36240.945000000007</v>
      </c>
      <c r="L27" s="67">
        <f t="shared" si="3"/>
        <v>8770.3086900000017</v>
      </c>
      <c r="M27" s="67">
        <f t="shared" si="4"/>
        <v>2058.4856760000002</v>
      </c>
      <c r="N27" s="67">
        <f t="shared" si="5"/>
        <v>3080.4803250000009</v>
      </c>
      <c r="O27" s="67">
        <f t="shared" si="1"/>
        <v>47069.739366000009</v>
      </c>
      <c r="P27" s="78">
        <f t="shared" si="6"/>
        <v>50150.219691000006</v>
      </c>
      <c r="Q27" s="79">
        <f t="shared" si="7"/>
        <v>31.660492229166671</v>
      </c>
      <c r="W27" s="70"/>
    </row>
    <row r="28" spans="1:23">
      <c r="A28" s="100" t="s">
        <v>154</v>
      </c>
      <c r="B28" s="71" t="s">
        <v>155</v>
      </c>
      <c r="C28" s="67">
        <v>20207.79</v>
      </c>
      <c r="D28" s="67">
        <f>13*11.2</f>
        <v>145.6</v>
      </c>
      <c r="E28" s="67">
        <v>6682.26</v>
      </c>
      <c r="F28" s="67">
        <f t="shared" si="2"/>
        <v>1683.9825000000001</v>
      </c>
      <c r="G28" s="76">
        <f t="shared" si="8"/>
        <v>556.85500000000002</v>
      </c>
      <c r="H28" s="67">
        <v>2909.4</v>
      </c>
      <c r="I28" s="68">
        <v>3098.74</v>
      </c>
      <c r="J28" s="68">
        <f>I28/12</f>
        <v>258.2283333333333</v>
      </c>
      <c r="K28" s="68">
        <f t="shared" si="0"/>
        <v>35542.855833333335</v>
      </c>
      <c r="L28" s="67">
        <f>K28*0.242</f>
        <v>8601.3711116666673</v>
      </c>
      <c r="M28" s="67">
        <f>((C28+F28+D28+G28+E28+H28)*0.8)*0.071</f>
        <v>1828.1584099999998</v>
      </c>
      <c r="N28" s="67">
        <f t="shared" si="5"/>
        <v>3021.1427458333337</v>
      </c>
      <c r="O28" s="67">
        <f t="shared" si="1"/>
        <v>45972.385355000006</v>
      </c>
      <c r="P28" s="78">
        <f t="shared" si="6"/>
        <v>48993.52810083334</v>
      </c>
      <c r="Q28" s="79">
        <f t="shared" si="7"/>
        <v>30.930257639414986</v>
      </c>
      <c r="W28" s="70"/>
    </row>
    <row r="29" spans="1:23">
      <c r="A29" s="100" t="s">
        <v>156</v>
      </c>
      <c r="B29" s="71" t="s">
        <v>157</v>
      </c>
      <c r="C29" s="67">
        <v>21911.18</v>
      </c>
      <c r="D29" s="67">
        <f>13*11.91</f>
        <v>154.83000000000001</v>
      </c>
      <c r="E29" s="67">
        <v>6682.26</v>
      </c>
      <c r="F29" s="67">
        <f t="shared" si="2"/>
        <v>1825.9316666666666</v>
      </c>
      <c r="G29" s="76">
        <v>556.86</v>
      </c>
      <c r="H29" s="67">
        <v>2909.4</v>
      </c>
      <c r="I29" s="68">
        <v>3098.74</v>
      </c>
      <c r="J29" s="68">
        <f t="shared" ref="J29:J35" si="9">I29/12</f>
        <v>258.2283333333333</v>
      </c>
      <c r="K29" s="68">
        <f t="shared" si="0"/>
        <v>37397.43</v>
      </c>
      <c r="L29" s="67">
        <f t="shared" si="3"/>
        <v>9050.1780600000002</v>
      </c>
      <c r="M29" s="67">
        <f t="shared" si="4"/>
        <v>1933.4982226666666</v>
      </c>
      <c r="N29" s="67">
        <f t="shared" si="5"/>
        <v>3178.7815500000002</v>
      </c>
      <c r="O29" s="67">
        <f t="shared" si="1"/>
        <v>48381.106282666668</v>
      </c>
      <c r="P29" s="78">
        <f t="shared" si="6"/>
        <v>51559.887832666667</v>
      </c>
      <c r="Q29" s="79">
        <f t="shared" si="7"/>
        <v>32.550434237794612</v>
      </c>
      <c r="W29" s="70"/>
    </row>
    <row r="30" spans="1:23">
      <c r="A30" s="100" t="s">
        <v>158</v>
      </c>
      <c r="B30" s="71" t="s">
        <v>159</v>
      </c>
      <c r="C30" s="67">
        <v>23526.52</v>
      </c>
      <c r="D30" s="67">
        <f>13*12.59</f>
        <v>163.66999999999999</v>
      </c>
      <c r="E30" s="67">
        <v>6682.26</v>
      </c>
      <c r="F30" s="67">
        <f t="shared" si="2"/>
        <v>1960.5433333333333</v>
      </c>
      <c r="G30" s="76">
        <v>556.86</v>
      </c>
      <c r="H30" s="67">
        <v>2909.4</v>
      </c>
      <c r="I30" s="68">
        <v>3098.74</v>
      </c>
      <c r="J30" s="68">
        <f t="shared" si="9"/>
        <v>258.2283333333333</v>
      </c>
      <c r="K30" s="68">
        <f t="shared" si="0"/>
        <v>39156.221666666665</v>
      </c>
      <c r="L30" s="67">
        <f t="shared" si="3"/>
        <v>9475.8056433333331</v>
      </c>
      <c r="M30" s="67">
        <f t="shared" si="4"/>
        <v>2033.3975893333334</v>
      </c>
      <c r="N30" s="67">
        <f t="shared" si="5"/>
        <v>3328.2788416666667</v>
      </c>
      <c r="O30" s="67">
        <f t="shared" si="1"/>
        <v>50665.424899333331</v>
      </c>
      <c r="P30" s="78">
        <f t="shared" si="6"/>
        <v>53993.703740999998</v>
      </c>
      <c r="Q30" s="79">
        <f t="shared" si="7"/>
        <v>34.086934179924242</v>
      </c>
      <c r="W30" s="70"/>
    </row>
    <row r="31" spans="1:23">
      <c r="A31" s="100" t="s">
        <v>160</v>
      </c>
      <c r="B31" s="71" t="s">
        <v>161</v>
      </c>
      <c r="C31" s="68">
        <v>25774.44</v>
      </c>
      <c r="D31" s="68">
        <f>13.58*13</f>
        <v>176.54</v>
      </c>
      <c r="E31" s="68">
        <v>6818.23</v>
      </c>
      <c r="F31" s="67">
        <f t="shared" si="2"/>
        <v>2147.87</v>
      </c>
      <c r="G31" s="68">
        <v>568.19000000000005</v>
      </c>
      <c r="H31" s="67">
        <v>3821.77</v>
      </c>
      <c r="I31" s="68">
        <v>3098.74</v>
      </c>
      <c r="J31" s="68">
        <f t="shared" si="9"/>
        <v>258.2283333333333</v>
      </c>
      <c r="K31" s="68">
        <f t="shared" si="0"/>
        <v>42664.008333333331</v>
      </c>
      <c r="L31" s="68">
        <f t="shared" si="3"/>
        <v>10324.690016666666</v>
      </c>
      <c r="M31" s="67">
        <f t="shared" si="4"/>
        <v>2232.6398719999997</v>
      </c>
      <c r="N31" s="68">
        <f t="shared" si="5"/>
        <v>3626.4407083333335</v>
      </c>
      <c r="O31" s="67">
        <f t="shared" si="1"/>
        <v>55221.338221999998</v>
      </c>
      <c r="P31" s="78">
        <f t="shared" si="6"/>
        <v>58847.778930333327</v>
      </c>
      <c r="Q31" s="79">
        <f t="shared" si="7"/>
        <v>37.151375587331643</v>
      </c>
      <c r="W31" s="70"/>
    </row>
    <row r="32" spans="1:23">
      <c r="A32" s="100" t="s">
        <v>162</v>
      </c>
      <c r="B32" s="71" t="s">
        <v>163</v>
      </c>
      <c r="C32" s="67">
        <v>27230.82</v>
      </c>
      <c r="D32" s="67">
        <f>14.19*13</f>
        <v>184.47</v>
      </c>
      <c r="E32" s="67">
        <v>6818.23</v>
      </c>
      <c r="F32" s="67">
        <f t="shared" si="2"/>
        <v>2269.2350000000001</v>
      </c>
      <c r="G32" s="67">
        <v>568.19000000000005</v>
      </c>
      <c r="H32" s="67">
        <v>3821.77</v>
      </c>
      <c r="I32" s="68">
        <v>3098.74</v>
      </c>
      <c r="J32" s="68">
        <f t="shared" si="9"/>
        <v>258.2283333333333</v>
      </c>
      <c r="K32" s="68">
        <f t="shared" si="0"/>
        <v>44249.683333333334</v>
      </c>
      <c r="L32" s="67">
        <f t="shared" si="3"/>
        <v>10708.423366666666</v>
      </c>
      <c r="M32" s="67">
        <f t="shared" si="4"/>
        <v>2322.7062119999996</v>
      </c>
      <c r="N32" s="67">
        <f t="shared" si="5"/>
        <v>3761.2230833333338</v>
      </c>
      <c r="O32" s="67">
        <f t="shared" si="1"/>
        <v>57280.812912000001</v>
      </c>
      <c r="P32" s="78">
        <f t="shared" si="6"/>
        <v>61042.035995333332</v>
      </c>
      <c r="Q32" s="79">
        <f t="shared" si="7"/>
        <v>38.536638885942757</v>
      </c>
      <c r="W32" s="70"/>
    </row>
    <row r="33" spans="1:23">
      <c r="A33" s="100" t="s">
        <v>188</v>
      </c>
      <c r="B33" s="71" t="s">
        <v>268</v>
      </c>
      <c r="C33" s="67">
        <v>28580.720000000001</v>
      </c>
      <c r="D33" s="67">
        <f>14.75*13</f>
        <v>191.75</v>
      </c>
      <c r="E33" s="67">
        <v>6818.23</v>
      </c>
      <c r="F33" s="67">
        <f t="shared" si="2"/>
        <v>2381.7266666666669</v>
      </c>
      <c r="G33" s="67">
        <v>568.19000000000005</v>
      </c>
      <c r="H33" s="67">
        <v>3821.77</v>
      </c>
      <c r="I33" s="68">
        <v>3098.74</v>
      </c>
      <c r="J33" s="68">
        <f t="shared" si="9"/>
        <v>258.2283333333333</v>
      </c>
      <c r="K33" s="68">
        <f t="shared" si="0"/>
        <v>45719.354999999996</v>
      </c>
      <c r="L33" s="67">
        <f t="shared" si="3"/>
        <v>11064.083909999999</v>
      </c>
      <c r="M33" s="67">
        <f t="shared" si="4"/>
        <v>2406.1835626666666</v>
      </c>
      <c r="N33" s="67">
        <f t="shared" si="5"/>
        <v>3886.1451750000001</v>
      </c>
      <c r="O33" s="67">
        <f t="shared" si="1"/>
        <v>59189.622472666662</v>
      </c>
      <c r="P33" s="78">
        <f t="shared" si="6"/>
        <v>63075.76764766666</v>
      </c>
      <c r="Q33" s="79">
        <f t="shared" si="7"/>
        <v>39.820560383627942</v>
      </c>
      <c r="W33" s="70"/>
    </row>
    <row r="34" spans="1:23">
      <c r="A34" s="100" t="s">
        <v>189</v>
      </c>
      <c r="B34" s="77" t="s">
        <v>269</v>
      </c>
      <c r="C34" s="67">
        <v>29990.09</v>
      </c>
      <c r="D34" s="67">
        <f>13*15.34</f>
        <v>199.42</v>
      </c>
      <c r="E34" s="67">
        <v>6818.23</v>
      </c>
      <c r="F34" s="67">
        <f t="shared" si="2"/>
        <v>2499.1741666666667</v>
      </c>
      <c r="G34" s="67">
        <v>568.19000000000005</v>
      </c>
      <c r="H34" s="67">
        <v>3821.77</v>
      </c>
      <c r="I34" s="68">
        <v>3098.74</v>
      </c>
      <c r="J34" s="68">
        <f t="shared" si="9"/>
        <v>258.2283333333333</v>
      </c>
      <c r="K34" s="68">
        <f t="shared" si="0"/>
        <v>47253.842499999992</v>
      </c>
      <c r="L34" s="67">
        <f t="shared" si="3"/>
        <v>11435.429884999998</v>
      </c>
      <c r="M34" s="67">
        <f t="shared" si="4"/>
        <v>2493.3424526666663</v>
      </c>
      <c r="N34" s="67">
        <f t="shared" si="5"/>
        <v>4016.5766124999996</v>
      </c>
      <c r="O34" s="67">
        <f t="shared" si="1"/>
        <v>61182.614837666653</v>
      </c>
      <c r="P34" s="78">
        <f t="shared" si="6"/>
        <v>65199.191450166654</v>
      </c>
      <c r="Q34" s="79">
        <f t="shared" si="7"/>
        <v>41.16110571348905</v>
      </c>
      <c r="W34" s="70"/>
    </row>
    <row r="35" spans="1:23">
      <c r="A35" s="100" t="s">
        <v>230</v>
      </c>
      <c r="B35" s="71" t="s">
        <v>272</v>
      </c>
      <c r="C35" s="67">
        <v>31090.09</v>
      </c>
      <c r="D35" s="67">
        <f>15.8*13</f>
        <v>205.4</v>
      </c>
      <c r="E35" s="67">
        <v>6818.23</v>
      </c>
      <c r="F35" s="67">
        <f t="shared" si="2"/>
        <v>2590.8408333333332</v>
      </c>
      <c r="G35" s="67">
        <v>568.19000000000005</v>
      </c>
      <c r="H35" s="67">
        <v>3821.77</v>
      </c>
      <c r="I35" s="68">
        <v>3098.74</v>
      </c>
      <c r="J35" s="68">
        <f t="shared" si="9"/>
        <v>258.2283333333333</v>
      </c>
      <c r="K35" s="68">
        <f t="shared" si="0"/>
        <v>48451.489166666666</v>
      </c>
      <c r="L35" s="67">
        <f t="shared" si="3"/>
        <v>11725.260378333332</v>
      </c>
      <c r="M35" s="67">
        <f t="shared" si="4"/>
        <v>2561.3687833333333</v>
      </c>
      <c r="N35" s="67">
        <f t="shared" si="5"/>
        <v>4118.3765791666665</v>
      </c>
      <c r="O35" s="67">
        <f t="shared" si="1"/>
        <v>62738.11832833333</v>
      </c>
      <c r="P35" s="78">
        <f t="shared" si="6"/>
        <v>66856.494907499989</v>
      </c>
      <c r="Q35" s="79">
        <f t="shared" si="7"/>
        <v>42.207383148674239</v>
      </c>
      <c r="W35" s="7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7"/>
  <sheetViews>
    <sheetView topLeftCell="A6" zoomScaleNormal="100" workbookViewId="0">
      <selection activeCell="A23" sqref="A23"/>
    </sheetView>
  </sheetViews>
  <sheetFormatPr defaultColWidth="8.7265625" defaultRowHeight="14"/>
  <cols>
    <col min="1" max="1" width="10.1796875" style="83" customWidth="1"/>
    <col min="2" max="2" width="45.26953125" style="83" customWidth="1"/>
    <col min="3" max="3" width="17.81640625" style="83" customWidth="1"/>
    <col min="4" max="4" width="16.453125" style="83" hidden="1" customWidth="1"/>
    <col min="5" max="5" width="13.453125" style="83" hidden="1" customWidth="1"/>
    <col min="6" max="6" width="12.81640625" style="83" hidden="1" customWidth="1"/>
    <col min="7" max="10" width="10.1796875" style="83" hidden="1" customWidth="1"/>
    <col min="11" max="11" width="11.7265625" style="83" hidden="1" customWidth="1"/>
    <col min="12" max="12" width="10.1796875" style="83" hidden="1" customWidth="1"/>
    <col min="13" max="13" width="19.1796875" style="83" hidden="1" customWidth="1"/>
    <col min="14" max="14" width="26.54296875" style="83" hidden="1" customWidth="1"/>
    <col min="15" max="15" width="24.81640625" style="83" hidden="1" customWidth="1"/>
    <col min="16" max="16" width="21.1796875" style="83" hidden="1" customWidth="1"/>
    <col min="17" max="17" width="18.453125" style="83" customWidth="1"/>
    <col min="18" max="18" width="11" style="83" bestFit="1" customWidth="1"/>
    <col min="19" max="16384" width="8.7265625" style="83"/>
  </cols>
  <sheetData>
    <row r="1" spans="1:22" s="96" customFormat="1" ht="18">
      <c r="A1" s="95" t="s">
        <v>275</v>
      </c>
    </row>
    <row r="2" spans="1:22">
      <c r="J2" s="84"/>
    </row>
    <row r="3" spans="1:22">
      <c r="R3" s="84" t="s">
        <v>258</v>
      </c>
    </row>
    <row r="4" spans="1:22" ht="42.65" customHeight="1">
      <c r="A4" s="21" t="s">
        <v>120</v>
      </c>
      <c r="B4" s="21" t="s">
        <v>63</v>
      </c>
      <c r="C4" s="26" t="s">
        <v>276</v>
      </c>
      <c r="D4" s="176" t="s">
        <v>4</v>
      </c>
      <c r="E4" s="176" t="s">
        <v>246</v>
      </c>
      <c r="F4" s="176" t="s">
        <v>6</v>
      </c>
      <c r="G4" s="176" t="s">
        <v>8</v>
      </c>
      <c r="H4" s="176" t="s">
        <v>122</v>
      </c>
      <c r="I4" s="176" t="s">
        <v>123</v>
      </c>
      <c r="J4" s="176" t="s">
        <v>233</v>
      </c>
      <c r="K4" s="176" t="s">
        <v>124</v>
      </c>
      <c r="L4" s="176" t="s">
        <v>10</v>
      </c>
      <c r="M4" s="176" t="s">
        <v>290</v>
      </c>
      <c r="N4" s="176" t="s">
        <v>247</v>
      </c>
      <c r="O4" s="176" t="s">
        <v>125</v>
      </c>
      <c r="P4" s="177" t="s">
        <v>126</v>
      </c>
      <c r="Q4" s="178" t="s">
        <v>257</v>
      </c>
    </row>
    <row r="5" spans="1:22" ht="23.25" hidden="1" customHeight="1" thickTop="1" thickBot="1">
      <c r="A5" s="85"/>
      <c r="B5" s="86"/>
      <c r="C5" s="87" t="s">
        <v>190</v>
      </c>
      <c r="D5" s="88"/>
      <c r="E5" s="88"/>
      <c r="F5" s="88"/>
      <c r="G5" s="88"/>
      <c r="H5" s="88"/>
      <c r="I5" s="88"/>
      <c r="J5" s="88"/>
      <c r="K5" s="89" t="s">
        <v>172</v>
      </c>
      <c r="L5" s="88" t="s">
        <v>173</v>
      </c>
      <c r="M5" s="88" t="s">
        <v>174</v>
      </c>
      <c r="N5" s="88" t="s">
        <v>180</v>
      </c>
      <c r="O5" s="88" t="s">
        <v>179</v>
      </c>
      <c r="P5" s="90" t="s">
        <v>181</v>
      </c>
      <c r="Q5" s="91"/>
    </row>
    <row r="6" spans="1:22">
      <c r="A6" s="100" t="s">
        <v>128</v>
      </c>
      <c r="B6" s="179" t="s">
        <v>129</v>
      </c>
      <c r="C6" s="180">
        <f>K6+L6+P6</f>
        <v>30950.789238083329</v>
      </c>
      <c r="D6" s="92">
        <v>12871.37</v>
      </c>
      <c r="E6" s="92">
        <f>7.98*13</f>
        <v>103.74000000000001</v>
      </c>
      <c r="F6" s="92">
        <v>6291.14</v>
      </c>
      <c r="G6" s="92">
        <f>(D6+F6)/12</f>
        <v>1596.8758333333335</v>
      </c>
      <c r="H6" s="92">
        <v>1246.1600000000001</v>
      </c>
      <c r="I6" s="92"/>
      <c r="J6" s="92"/>
      <c r="K6" s="92">
        <f>SUM(D6:J6)</f>
        <v>22109.285833333332</v>
      </c>
      <c r="L6" s="92">
        <f>K6*8.5%</f>
        <v>1879.2892958333334</v>
      </c>
      <c r="M6" s="92">
        <f>K6*24.2%</f>
        <v>5350.4471716666658</v>
      </c>
      <c r="N6" s="92">
        <f>((D6+E6+F6+G6+H6)*0.8)*0.071</f>
        <v>1255.8074353333332</v>
      </c>
      <c r="O6" s="92">
        <f>K6*1.61%</f>
        <v>355.95950191666662</v>
      </c>
      <c r="P6" s="92">
        <f>M6+N6+O6</f>
        <v>6962.2141089166653</v>
      </c>
      <c r="Q6" s="132">
        <f>C6/1584</f>
        <v>19.539639670507153</v>
      </c>
      <c r="R6" s="93"/>
      <c r="U6" s="93"/>
      <c r="V6" s="93"/>
    </row>
    <row r="7" spans="1:22">
      <c r="A7" s="100" t="s">
        <v>130</v>
      </c>
      <c r="B7" s="179" t="s">
        <v>131</v>
      </c>
      <c r="C7" s="180">
        <f t="shared" ref="C7:C23" si="0">K7+L7+P7</f>
        <v>32177.745592083334</v>
      </c>
      <c r="D7" s="92">
        <v>13634.51</v>
      </c>
      <c r="E7" s="92">
        <f>13*8.32</f>
        <v>108.16</v>
      </c>
      <c r="F7" s="92">
        <v>6332.96</v>
      </c>
      <c r="G7" s="92">
        <f t="shared" ref="G7:G23" si="1">(D7+F7)/12</f>
        <v>1663.9558333333334</v>
      </c>
      <c r="H7" s="92">
        <v>1246.1600000000001</v>
      </c>
      <c r="I7" s="92"/>
      <c r="J7" s="92"/>
      <c r="K7" s="92">
        <f t="shared" ref="K7:K23" si="2">SUM(D7:J7)</f>
        <v>22985.745833333334</v>
      </c>
      <c r="L7" s="92">
        <f t="shared" ref="L7:L23" si="3">K7*8.5%</f>
        <v>1953.7883958333337</v>
      </c>
      <c r="M7" s="92">
        <f t="shared" ref="M7:M23" si="4">K7*24.2%</f>
        <v>5562.5504916666669</v>
      </c>
      <c r="N7" s="92">
        <f t="shared" ref="N7:N23" si="5">((D7+E7+F7+G7+H7)*0.8)*0.071</f>
        <v>1305.5903633333332</v>
      </c>
      <c r="O7" s="92">
        <f t="shared" ref="O7:O23" si="6">K7*1.61%</f>
        <v>370.07050791666666</v>
      </c>
      <c r="P7" s="92">
        <f t="shared" ref="P7:P23" si="7">M7+N7+O7</f>
        <v>7238.2113629166661</v>
      </c>
      <c r="Q7" s="132">
        <f t="shared" ref="Q7:Q23" si="8">C7/1584</f>
        <v>20.314233328335437</v>
      </c>
      <c r="R7" s="93"/>
      <c r="U7" s="93"/>
      <c r="V7" s="93"/>
    </row>
    <row r="8" spans="1:22">
      <c r="A8" s="100" t="s">
        <v>132</v>
      </c>
      <c r="B8" s="179" t="s">
        <v>133</v>
      </c>
      <c r="C8" s="180">
        <f t="shared" si="0"/>
        <v>33466.532029333335</v>
      </c>
      <c r="D8" s="92">
        <v>14480.12</v>
      </c>
      <c r="E8" s="92">
        <f>8.67*13</f>
        <v>112.71</v>
      </c>
      <c r="F8" s="92">
        <v>6332.96</v>
      </c>
      <c r="G8" s="92">
        <f t="shared" si="1"/>
        <v>1734.4233333333334</v>
      </c>
      <c r="H8" s="92">
        <v>1246.1600000000001</v>
      </c>
      <c r="I8" s="92"/>
      <c r="J8" s="92"/>
      <c r="K8" s="92">
        <f t="shared" si="2"/>
        <v>23906.373333333333</v>
      </c>
      <c r="L8" s="92">
        <f t="shared" si="3"/>
        <v>2032.0417333333335</v>
      </c>
      <c r="M8" s="92">
        <f t="shared" si="4"/>
        <v>5785.3423466666663</v>
      </c>
      <c r="N8" s="92">
        <f t="shared" si="5"/>
        <v>1357.8820053333334</v>
      </c>
      <c r="O8" s="92">
        <f t="shared" si="6"/>
        <v>384.89261066666666</v>
      </c>
      <c r="P8" s="92">
        <f t="shared" si="7"/>
        <v>7528.116962666666</v>
      </c>
      <c r="Q8" s="132">
        <f t="shared" si="8"/>
        <v>21.127861129629633</v>
      </c>
      <c r="R8" s="93"/>
      <c r="U8" s="93"/>
      <c r="V8" s="93"/>
    </row>
    <row r="9" spans="1:22">
      <c r="A9" s="100" t="s">
        <v>134</v>
      </c>
      <c r="B9" s="179" t="s">
        <v>135</v>
      </c>
      <c r="C9" s="180">
        <f t="shared" si="0"/>
        <v>33717.800080333334</v>
      </c>
      <c r="D9" s="92">
        <v>14193.96</v>
      </c>
      <c r="E9" s="92">
        <f>13*8.57</f>
        <v>111.41</v>
      </c>
      <c r="F9" s="92">
        <v>6372.64</v>
      </c>
      <c r="G9" s="92">
        <f t="shared" si="1"/>
        <v>1713.8833333333332</v>
      </c>
      <c r="H9" s="92">
        <v>1693.97</v>
      </c>
      <c r="I9" s="92"/>
      <c r="J9" s="92"/>
      <c r="K9" s="92">
        <f t="shared" si="2"/>
        <v>24085.863333333335</v>
      </c>
      <c r="L9" s="92">
        <f t="shared" si="3"/>
        <v>2047.2983833333335</v>
      </c>
      <c r="M9" s="92">
        <f t="shared" si="4"/>
        <v>5828.7789266666668</v>
      </c>
      <c r="N9" s="92">
        <f t="shared" si="5"/>
        <v>1368.0770373333335</v>
      </c>
      <c r="O9" s="92">
        <f t="shared" si="6"/>
        <v>387.78239966666666</v>
      </c>
      <c r="P9" s="92">
        <f t="shared" si="7"/>
        <v>7584.6383636666669</v>
      </c>
      <c r="Q9" s="132">
        <f t="shared" si="8"/>
        <v>21.286489949705388</v>
      </c>
      <c r="R9" s="93"/>
      <c r="U9" s="93"/>
      <c r="V9" s="93"/>
    </row>
    <row r="10" spans="1:22">
      <c r="A10" s="100" t="s">
        <v>136</v>
      </c>
      <c r="B10" s="179" t="s">
        <v>137</v>
      </c>
      <c r="C10" s="180">
        <f t="shared" si="0"/>
        <v>34306.103388999996</v>
      </c>
      <c r="D10" s="92">
        <v>14579.96</v>
      </c>
      <c r="E10" s="92">
        <f>8.73*13</f>
        <v>113.49000000000001</v>
      </c>
      <c r="F10" s="92">
        <v>6372.64</v>
      </c>
      <c r="G10" s="92">
        <f t="shared" si="1"/>
        <v>1746.05</v>
      </c>
      <c r="H10" s="92">
        <v>1693.97</v>
      </c>
      <c r="I10" s="92"/>
      <c r="J10" s="92"/>
      <c r="K10" s="92">
        <f t="shared" si="2"/>
        <v>24506.11</v>
      </c>
      <c r="L10" s="92">
        <f t="shared" si="3"/>
        <v>2083.01935</v>
      </c>
      <c r="M10" s="92">
        <f t="shared" si="4"/>
        <v>5930.4786199999999</v>
      </c>
      <c r="N10" s="92">
        <f t="shared" si="5"/>
        <v>1391.947048</v>
      </c>
      <c r="O10" s="92">
        <f t="shared" si="6"/>
        <v>394.54837099999997</v>
      </c>
      <c r="P10" s="92">
        <f t="shared" si="7"/>
        <v>7716.9740389999997</v>
      </c>
      <c r="Q10" s="132">
        <f t="shared" si="8"/>
        <v>21.657893553661612</v>
      </c>
      <c r="R10" s="93"/>
      <c r="U10" s="93"/>
      <c r="V10" s="93"/>
    </row>
    <row r="11" spans="1:22">
      <c r="A11" s="100" t="s">
        <v>138</v>
      </c>
      <c r="B11" s="179" t="s">
        <v>139</v>
      </c>
      <c r="C11" s="180">
        <f t="shared" si="0"/>
        <v>35525.962250000004</v>
      </c>
      <c r="D11" s="92">
        <v>15380.36</v>
      </c>
      <c r="E11" s="92">
        <f>13*9.06</f>
        <v>117.78</v>
      </c>
      <c r="F11" s="92">
        <v>6372.64</v>
      </c>
      <c r="G11" s="92">
        <f t="shared" si="1"/>
        <v>1812.75</v>
      </c>
      <c r="H11" s="92">
        <v>1693.97</v>
      </c>
      <c r="I11" s="92"/>
      <c r="J11" s="92"/>
      <c r="K11" s="92">
        <f t="shared" si="2"/>
        <v>25377.500000000004</v>
      </c>
      <c r="L11" s="92">
        <f t="shared" si="3"/>
        <v>2157.0875000000005</v>
      </c>
      <c r="M11" s="92">
        <f t="shared" si="4"/>
        <v>6141.3550000000005</v>
      </c>
      <c r="N11" s="92">
        <f t="shared" si="5"/>
        <v>1441.4420000000002</v>
      </c>
      <c r="O11" s="92">
        <f t="shared" si="6"/>
        <v>408.57775000000004</v>
      </c>
      <c r="P11" s="92">
        <f t="shared" si="7"/>
        <v>7991.3747500000009</v>
      </c>
      <c r="Q11" s="132">
        <f t="shared" si="8"/>
        <v>22.428006470959598</v>
      </c>
      <c r="R11" s="93"/>
      <c r="U11" s="93"/>
      <c r="V11" s="93"/>
    </row>
    <row r="12" spans="1:22">
      <c r="A12" s="100" t="s">
        <v>140</v>
      </c>
      <c r="B12" s="179" t="s">
        <v>141</v>
      </c>
      <c r="C12" s="180">
        <f t="shared" si="0"/>
        <v>37169.122873</v>
      </c>
      <c r="D12" s="92">
        <v>16381</v>
      </c>
      <c r="E12" s="92">
        <f>13*9.51</f>
        <v>123.63</v>
      </c>
      <c r="F12" s="92">
        <v>6450.08</v>
      </c>
      <c r="G12" s="92">
        <f t="shared" si="1"/>
        <v>1902.5900000000001</v>
      </c>
      <c r="H12" s="92">
        <v>1693.97</v>
      </c>
      <c r="I12" s="92"/>
      <c r="J12" s="92"/>
      <c r="K12" s="92">
        <f t="shared" si="2"/>
        <v>26551.27</v>
      </c>
      <c r="L12" s="92">
        <f t="shared" si="3"/>
        <v>2256.8579500000001</v>
      </c>
      <c r="M12" s="92">
        <f t="shared" si="4"/>
        <v>6425.4073399999997</v>
      </c>
      <c r="N12" s="92">
        <f t="shared" si="5"/>
        <v>1508.1121360000002</v>
      </c>
      <c r="O12" s="92">
        <f t="shared" si="6"/>
        <v>427.47544699999997</v>
      </c>
      <c r="P12" s="92">
        <f t="shared" si="7"/>
        <v>8360.9949230000002</v>
      </c>
      <c r="Q12" s="132">
        <f t="shared" si="8"/>
        <v>23.465355349116162</v>
      </c>
      <c r="R12" s="93"/>
      <c r="U12" s="93"/>
      <c r="V12" s="93"/>
    </row>
    <row r="13" spans="1:22">
      <c r="A13" s="100" t="s">
        <v>142</v>
      </c>
      <c r="B13" s="179" t="s">
        <v>143</v>
      </c>
      <c r="C13" s="180">
        <f t="shared" si="0"/>
        <v>38234.838745000008</v>
      </c>
      <c r="D13" s="92">
        <v>17080.240000000002</v>
      </c>
      <c r="E13" s="92">
        <f>13*9.8</f>
        <v>127.4</v>
      </c>
      <c r="F13" s="92">
        <v>6450.08</v>
      </c>
      <c r="G13" s="92">
        <f t="shared" si="1"/>
        <v>1960.86</v>
      </c>
      <c r="H13" s="92">
        <v>1693.97</v>
      </c>
      <c r="I13" s="92"/>
      <c r="J13" s="92"/>
      <c r="K13" s="92">
        <f t="shared" si="2"/>
        <v>27312.550000000003</v>
      </c>
      <c r="L13" s="92">
        <f t="shared" si="3"/>
        <v>2321.5667500000004</v>
      </c>
      <c r="M13" s="92">
        <f t="shared" si="4"/>
        <v>6609.6371000000008</v>
      </c>
      <c r="N13" s="92">
        <f t="shared" si="5"/>
        <v>1551.3528400000002</v>
      </c>
      <c r="O13" s="92">
        <f t="shared" si="6"/>
        <v>439.73205500000006</v>
      </c>
      <c r="P13" s="92">
        <f t="shared" si="7"/>
        <v>8600.7219950000017</v>
      </c>
      <c r="Q13" s="132">
        <f t="shared" si="8"/>
        <v>24.138155773358591</v>
      </c>
      <c r="R13" s="93"/>
      <c r="U13" s="93"/>
      <c r="V13" s="93"/>
    </row>
    <row r="14" spans="1:22">
      <c r="A14" s="100" t="s">
        <v>144</v>
      </c>
      <c r="B14" s="179" t="s">
        <v>145</v>
      </c>
      <c r="C14" s="180">
        <f t="shared" si="0"/>
        <v>39821.530901749997</v>
      </c>
      <c r="D14" s="92">
        <v>17357.23</v>
      </c>
      <c r="E14" s="92">
        <f>13*9.96</f>
        <v>129.48000000000002</v>
      </c>
      <c r="F14" s="92">
        <v>6545.24</v>
      </c>
      <c r="G14" s="92">
        <f t="shared" si="1"/>
        <v>1991.8725000000002</v>
      </c>
      <c r="H14" s="92">
        <v>2422.16</v>
      </c>
      <c r="I14" s="92"/>
      <c r="J14" s="92"/>
      <c r="K14" s="92">
        <f t="shared" si="2"/>
        <v>28445.982499999998</v>
      </c>
      <c r="L14" s="92">
        <f t="shared" si="3"/>
        <v>2417.9085125000001</v>
      </c>
      <c r="M14" s="92">
        <f t="shared" si="4"/>
        <v>6883.9277649999995</v>
      </c>
      <c r="N14" s="92">
        <f t="shared" si="5"/>
        <v>1615.7318059999998</v>
      </c>
      <c r="O14" s="92">
        <f t="shared" si="6"/>
        <v>457.98031824999998</v>
      </c>
      <c r="P14" s="92">
        <f t="shared" si="7"/>
        <v>8957.6398892500001</v>
      </c>
      <c r="Q14" s="132">
        <f t="shared" si="8"/>
        <v>25.139855367266414</v>
      </c>
      <c r="R14" s="93"/>
      <c r="U14" s="93"/>
      <c r="V14" s="93"/>
    </row>
    <row r="15" spans="1:22">
      <c r="A15" s="100" t="s">
        <v>146</v>
      </c>
      <c r="B15" s="179" t="s">
        <v>147</v>
      </c>
      <c r="C15" s="180">
        <f t="shared" si="0"/>
        <v>41206.831111333333</v>
      </c>
      <c r="D15" s="92">
        <v>18266.12</v>
      </c>
      <c r="E15" s="92">
        <f>13*10.34</f>
        <v>134.41999999999999</v>
      </c>
      <c r="F15" s="92">
        <v>6545.24</v>
      </c>
      <c r="G15" s="92">
        <f t="shared" si="1"/>
        <v>2067.6133333333332</v>
      </c>
      <c r="H15" s="92">
        <v>2422.16</v>
      </c>
      <c r="I15" s="92"/>
      <c r="J15" s="92"/>
      <c r="K15" s="92">
        <f t="shared" si="2"/>
        <v>29435.553333333333</v>
      </c>
      <c r="L15" s="92">
        <f t="shared" si="3"/>
        <v>2502.0220333333336</v>
      </c>
      <c r="M15" s="92">
        <f t="shared" si="4"/>
        <v>7123.4039066666664</v>
      </c>
      <c r="N15" s="92">
        <f t="shared" si="5"/>
        <v>1671.9394293333335</v>
      </c>
      <c r="O15" s="92">
        <f t="shared" si="6"/>
        <v>473.91240866666664</v>
      </c>
      <c r="P15" s="92">
        <f t="shared" si="7"/>
        <v>9269.2557446666669</v>
      </c>
      <c r="Q15" s="132">
        <f t="shared" si="8"/>
        <v>26.014413580387206</v>
      </c>
      <c r="R15" s="93"/>
      <c r="U15" s="93"/>
      <c r="V15" s="93"/>
    </row>
    <row r="16" spans="1:22">
      <c r="A16" s="100" t="s">
        <v>148</v>
      </c>
      <c r="B16" s="179" t="s">
        <v>149</v>
      </c>
      <c r="C16" s="180">
        <f t="shared" si="0"/>
        <v>42731.715349916667</v>
      </c>
      <c r="D16" s="92">
        <v>19266.689999999999</v>
      </c>
      <c r="E16" s="92">
        <f>10.75*13</f>
        <v>139.75</v>
      </c>
      <c r="F16" s="92">
        <v>6545.24</v>
      </c>
      <c r="G16" s="92">
        <f t="shared" si="1"/>
        <v>2150.9941666666668</v>
      </c>
      <c r="H16" s="92">
        <v>2422.16</v>
      </c>
      <c r="I16" s="92"/>
      <c r="J16" s="92"/>
      <c r="K16" s="92">
        <f t="shared" si="2"/>
        <v>30524.834166666667</v>
      </c>
      <c r="L16" s="92">
        <f t="shared" si="3"/>
        <v>2594.6109041666668</v>
      </c>
      <c r="M16" s="92">
        <f t="shared" si="4"/>
        <v>7387.0098683333335</v>
      </c>
      <c r="N16" s="92">
        <f t="shared" si="5"/>
        <v>1733.8105806666667</v>
      </c>
      <c r="O16" s="92">
        <f t="shared" si="6"/>
        <v>491.44983008333332</v>
      </c>
      <c r="P16" s="92">
        <f t="shared" si="7"/>
        <v>9612.2702790833337</v>
      </c>
      <c r="Q16" s="132">
        <f t="shared" si="8"/>
        <v>26.977093023937289</v>
      </c>
      <c r="R16" s="93"/>
      <c r="U16" s="93"/>
      <c r="V16" s="93"/>
    </row>
    <row r="17" spans="1:22">
      <c r="A17" s="100" t="s">
        <v>150</v>
      </c>
      <c r="B17" s="179" t="s">
        <v>151</v>
      </c>
      <c r="C17" s="180">
        <f t="shared" si="0"/>
        <v>44730.766717000006</v>
      </c>
      <c r="D17" s="92">
        <v>20578.240000000002</v>
      </c>
      <c r="E17" s="92">
        <f>13*11.3</f>
        <v>146.9</v>
      </c>
      <c r="F17" s="92">
        <v>6545.24</v>
      </c>
      <c r="G17" s="92">
        <f t="shared" si="1"/>
        <v>2260.2900000000004</v>
      </c>
      <c r="H17" s="92">
        <v>2422.16</v>
      </c>
      <c r="I17" s="92"/>
      <c r="J17" s="92"/>
      <c r="K17" s="92">
        <f t="shared" si="2"/>
        <v>31952.830000000005</v>
      </c>
      <c r="L17" s="92">
        <f t="shared" si="3"/>
        <v>2715.9905500000004</v>
      </c>
      <c r="M17" s="92">
        <f t="shared" si="4"/>
        <v>7732.5848600000008</v>
      </c>
      <c r="N17" s="92">
        <f t="shared" si="5"/>
        <v>1814.9207440000002</v>
      </c>
      <c r="O17" s="92">
        <f t="shared" si="6"/>
        <v>514.44056300000011</v>
      </c>
      <c r="P17" s="92">
        <f t="shared" si="7"/>
        <v>10061.946167000002</v>
      </c>
      <c r="Q17" s="132">
        <f t="shared" si="8"/>
        <v>28.239120402146469</v>
      </c>
      <c r="R17" s="93"/>
      <c r="U17" s="93"/>
      <c r="V17" s="93"/>
    </row>
    <row r="18" spans="1:22">
      <c r="A18" s="100" t="s">
        <v>152</v>
      </c>
      <c r="B18" s="179" t="s">
        <v>153</v>
      </c>
      <c r="C18" s="180">
        <f t="shared" si="0"/>
        <v>46206.408306500001</v>
      </c>
      <c r="D18" s="92">
        <v>21546.46</v>
      </c>
      <c r="E18" s="92">
        <f>11.7*13</f>
        <v>152.1</v>
      </c>
      <c r="F18" s="92">
        <v>6545.24</v>
      </c>
      <c r="G18" s="92">
        <f t="shared" si="1"/>
        <v>2340.9749999999999</v>
      </c>
      <c r="H18" s="92">
        <v>2422.16</v>
      </c>
      <c r="I18" s="92"/>
      <c r="J18" s="92"/>
      <c r="K18" s="92">
        <f t="shared" si="2"/>
        <v>33006.934999999998</v>
      </c>
      <c r="L18" s="92">
        <f t="shared" si="3"/>
        <v>2805.5894750000002</v>
      </c>
      <c r="M18" s="92">
        <f t="shared" si="4"/>
        <v>7987.6782699999994</v>
      </c>
      <c r="N18" s="92">
        <f t="shared" si="5"/>
        <v>1874.7939079999996</v>
      </c>
      <c r="O18" s="92">
        <f t="shared" si="6"/>
        <v>531.41165349999994</v>
      </c>
      <c r="P18" s="92">
        <f t="shared" si="7"/>
        <v>10393.883831499999</v>
      </c>
      <c r="Q18" s="132">
        <f t="shared" si="8"/>
        <v>29.170712314709597</v>
      </c>
      <c r="R18" s="93"/>
      <c r="U18" s="93"/>
      <c r="V18" s="93"/>
    </row>
    <row r="19" spans="1:22">
      <c r="A19" s="100" t="s">
        <v>154</v>
      </c>
      <c r="B19" s="179" t="s">
        <v>155</v>
      </c>
      <c r="C19" s="180">
        <f t="shared" si="0"/>
        <v>49475.59319638001</v>
      </c>
      <c r="D19" s="92">
        <v>20207.79</v>
      </c>
      <c r="E19" s="92">
        <f>13*11.2</f>
        <v>145.6</v>
      </c>
      <c r="F19" s="92">
        <v>6682.26</v>
      </c>
      <c r="G19" s="92">
        <f t="shared" si="1"/>
        <v>2240.8375000000001</v>
      </c>
      <c r="H19" s="92">
        <v>2909.4</v>
      </c>
      <c r="I19" s="92">
        <v>3036.7651999999998</v>
      </c>
      <c r="J19" s="92">
        <f>I19/12</f>
        <v>253.06376666666665</v>
      </c>
      <c r="K19" s="92">
        <f t="shared" si="2"/>
        <v>35475.716466666672</v>
      </c>
      <c r="L19" s="92">
        <f t="shared" si="3"/>
        <v>3015.4358996666674</v>
      </c>
      <c r="M19" s="92">
        <f t="shared" si="4"/>
        <v>8585.1233849333348</v>
      </c>
      <c r="N19" s="92">
        <f t="shared" si="5"/>
        <v>1828.1584100000002</v>
      </c>
      <c r="O19" s="92">
        <f t="shared" si="6"/>
        <v>571.1590351133334</v>
      </c>
      <c r="P19" s="92">
        <f t="shared" si="7"/>
        <v>10984.440830046668</v>
      </c>
      <c r="Q19" s="132">
        <f t="shared" si="8"/>
        <v>31.23459166438132</v>
      </c>
      <c r="R19" s="93"/>
      <c r="U19" s="93"/>
      <c r="V19" s="93"/>
    </row>
    <row r="20" spans="1:22">
      <c r="A20" s="100" t="s">
        <v>156</v>
      </c>
      <c r="B20" s="179" t="s">
        <v>157</v>
      </c>
      <c r="C20" s="180">
        <f t="shared" si="0"/>
        <v>52071.804572796682</v>
      </c>
      <c r="D20" s="92">
        <v>21911.18</v>
      </c>
      <c r="E20" s="92">
        <f>13*11.91</f>
        <v>154.83000000000001</v>
      </c>
      <c r="F20" s="92">
        <v>6682.26</v>
      </c>
      <c r="G20" s="92">
        <f t="shared" si="1"/>
        <v>2382.7866666666669</v>
      </c>
      <c r="H20" s="92">
        <v>2909.4</v>
      </c>
      <c r="I20" s="92">
        <v>3036.7651999999998</v>
      </c>
      <c r="J20" s="92">
        <f t="shared" ref="J20:J23" si="9">I20/12</f>
        <v>253.06376666666665</v>
      </c>
      <c r="K20" s="92">
        <f t="shared" si="2"/>
        <v>37330.28563333334</v>
      </c>
      <c r="L20" s="92">
        <f t="shared" si="3"/>
        <v>3173.0742788333341</v>
      </c>
      <c r="M20" s="92">
        <f t="shared" si="4"/>
        <v>9033.9291232666674</v>
      </c>
      <c r="N20" s="92">
        <f t="shared" si="5"/>
        <v>1933.4979386666669</v>
      </c>
      <c r="O20" s="92">
        <f t="shared" si="6"/>
        <v>601.01759869666682</v>
      </c>
      <c r="P20" s="92">
        <f t="shared" si="7"/>
        <v>11568.444660630001</v>
      </c>
      <c r="Q20" s="132">
        <f t="shared" si="8"/>
        <v>32.873613997977706</v>
      </c>
      <c r="R20" s="93"/>
      <c r="U20" s="93"/>
      <c r="V20" s="93"/>
    </row>
    <row r="21" spans="1:22">
      <c r="A21" s="100" t="s">
        <v>158</v>
      </c>
      <c r="B21" s="179" t="s">
        <v>159</v>
      </c>
      <c r="C21" s="180">
        <f t="shared" si="0"/>
        <v>54533.937026963322</v>
      </c>
      <c r="D21" s="92">
        <v>23526.52</v>
      </c>
      <c r="E21" s="92">
        <f>13*12.59</f>
        <v>163.66999999999999</v>
      </c>
      <c r="F21" s="92">
        <v>6682.26</v>
      </c>
      <c r="G21" s="92">
        <f t="shared" si="1"/>
        <v>2517.3983333333331</v>
      </c>
      <c r="H21" s="92">
        <v>2909.4</v>
      </c>
      <c r="I21" s="92">
        <v>3036.7651999999998</v>
      </c>
      <c r="J21" s="92">
        <f t="shared" si="9"/>
        <v>253.06376666666665</v>
      </c>
      <c r="K21" s="92">
        <f t="shared" si="2"/>
        <v>39089.077299999997</v>
      </c>
      <c r="L21" s="92">
        <f t="shared" si="3"/>
        <v>3322.5715704999998</v>
      </c>
      <c r="M21" s="92">
        <f t="shared" si="4"/>
        <v>9459.5567065999985</v>
      </c>
      <c r="N21" s="92">
        <f t="shared" si="5"/>
        <v>2033.397305333333</v>
      </c>
      <c r="O21" s="92">
        <f t="shared" si="6"/>
        <v>629.33414452999989</v>
      </c>
      <c r="P21" s="92">
        <f t="shared" si="7"/>
        <v>12122.288156463332</v>
      </c>
      <c r="Q21" s="132">
        <f t="shared" si="8"/>
        <v>34.427990547325329</v>
      </c>
      <c r="R21" s="93"/>
      <c r="U21" s="93"/>
      <c r="V21" s="93"/>
    </row>
    <row r="22" spans="1:22">
      <c r="A22" s="100" t="s">
        <v>160</v>
      </c>
      <c r="B22" s="179" t="s">
        <v>161</v>
      </c>
      <c r="C22" s="180">
        <f t="shared" si="0"/>
        <v>59444.488748213327</v>
      </c>
      <c r="D22" s="92">
        <v>25774.44</v>
      </c>
      <c r="E22" s="92">
        <f>13.58*13</f>
        <v>176.54</v>
      </c>
      <c r="F22" s="92">
        <v>6818.23</v>
      </c>
      <c r="G22" s="92">
        <f t="shared" si="1"/>
        <v>2716.0558333333333</v>
      </c>
      <c r="H22" s="92">
        <v>3821.77</v>
      </c>
      <c r="I22" s="92">
        <v>3036.7651999999998</v>
      </c>
      <c r="J22" s="92">
        <f t="shared" si="9"/>
        <v>253.06376666666665</v>
      </c>
      <c r="K22" s="92">
        <f t="shared" si="2"/>
        <v>42596.864799999996</v>
      </c>
      <c r="L22" s="92">
        <f t="shared" si="3"/>
        <v>3620.7335079999998</v>
      </c>
      <c r="M22" s="92">
        <f t="shared" si="4"/>
        <v>10308.441281599999</v>
      </c>
      <c r="N22" s="92">
        <f t="shared" si="5"/>
        <v>2232.639635333333</v>
      </c>
      <c r="O22" s="92">
        <f t="shared" si="6"/>
        <v>685.80952327999989</v>
      </c>
      <c r="P22" s="92">
        <f t="shared" si="7"/>
        <v>13226.890440213332</v>
      </c>
      <c r="Q22" s="132">
        <f t="shared" si="8"/>
        <v>37.528086330942756</v>
      </c>
      <c r="R22" s="93"/>
      <c r="U22" s="93"/>
      <c r="V22" s="93"/>
    </row>
    <row r="23" spans="1:22">
      <c r="A23" s="100" t="s">
        <v>162</v>
      </c>
      <c r="B23" s="179" t="s">
        <v>163</v>
      </c>
      <c r="C23" s="180">
        <f t="shared" si="0"/>
        <v>61664.275180713339</v>
      </c>
      <c r="D23" s="92">
        <v>27230.82</v>
      </c>
      <c r="E23" s="92">
        <f>14.19*13</f>
        <v>184.47</v>
      </c>
      <c r="F23" s="92">
        <v>6818.23</v>
      </c>
      <c r="G23" s="92">
        <f t="shared" si="1"/>
        <v>2837.4208333333336</v>
      </c>
      <c r="H23" s="92">
        <v>3821.77</v>
      </c>
      <c r="I23" s="92">
        <v>3036.7651999999998</v>
      </c>
      <c r="J23" s="92">
        <f t="shared" si="9"/>
        <v>253.06376666666665</v>
      </c>
      <c r="K23" s="92">
        <f t="shared" si="2"/>
        <v>44182.539800000006</v>
      </c>
      <c r="L23" s="92">
        <f t="shared" si="3"/>
        <v>3755.5158830000009</v>
      </c>
      <c r="M23" s="92">
        <f t="shared" si="4"/>
        <v>10692.174631600001</v>
      </c>
      <c r="N23" s="92">
        <f t="shared" si="5"/>
        <v>2322.7059753333333</v>
      </c>
      <c r="O23" s="92">
        <f t="shared" si="6"/>
        <v>711.33889078000004</v>
      </c>
      <c r="P23" s="92">
        <f t="shared" si="7"/>
        <v>13726.219497713333</v>
      </c>
      <c r="Q23" s="132">
        <f t="shared" si="8"/>
        <v>38.929466654490746</v>
      </c>
      <c r="R23" s="93"/>
      <c r="U23" s="93"/>
      <c r="V23" s="93"/>
    </row>
    <row r="24" spans="1:22">
      <c r="B24" s="94"/>
    </row>
    <row r="25" spans="1:22">
      <c r="B25" s="94"/>
    </row>
    <row r="26" spans="1:22">
      <c r="B26" s="94"/>
    </row>
    <row r="27" spans="1:22">
      <c r="B27" s="94"/>
    </row>
    <row r="28" spans="1:22">
      <c r="B28" s="94"/>
    </row>
    <row r="29" spans="1:22">
      <c r="B29" s="94"/>
    </row>
    <row r="30" spans="1:22">
      <c r="B30" s="94"/>
    </row>
    <row r="31" spans="1:22">
      <c r="B31" s="94"/>
    </row>
    <row r="32" spans="1:22">
      <c r="B32" s="94"/>
    </row>
    <row r="33" spans="2:2">
      <c r="B33" s="94"/>
    </row>
    <row r="34" spans="2:2">
      <c r="B34" s="94"/>
    </row>
    <row r="35" spans="2:2">
      <c r="B35" s="94"/>
    </row>
    <row r="36" spans="2:2">
      <c r="B36" s="94"/>
    </row>
    <row r="37" spans="2:2">
      <c r="B37" s="94"/>
    </row>
  </sheetData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"/>
  <sheetViews>
    <sheetView tabSelected="1" workbookViewId="0">
      <selection activeCell="U7" sqref="U7"/>
    </sheetView>
  </sheetViews>
  <sheetFormatPr defaultColWidth="8.7265625" defaultRowHeight="14"/>
  <cols>
    <col min="1" max="1" width="8.7265625" style="62"/>
    <col min="2" max="2" width="57.6328125" style="62" customWidth="1"/>
    <col min="3" max="3" width="19.453125" style="62" hidden="1" customWidth="1"/>
    <col min="4" max="4" width="12.453125" style="62" hidden="1" customWidth="1"/>
    <col min="5" max="6" width="9.54296875" style="62" hidden="1" customWidth="1"/>
    <col min="7" max="7" width="9.1796875" style="62" hidden="1" customWidth="1"/>
    <col min="8" max="8" width="9.54296875" style="62" hidden="1" customWidth="1"/>
    <col min="9" max="9" width="9.7265625" style="62" hidden="1" customWidth="1"/>
    <col min="10" max="10" width="10.26953125" style="62" hidden="1" customWidth="1"/>
    <col min="11" max="11" width="10.54296875" style="62" hidden="1" customWidth="1"/>
    <col min="12" max="12" width="12.26953125" style="62" hidden="1" customWidth="1"/>
    <col min="13" max="13" width="10.453125" style="62" hidden="1" customWidth="1"/>
    <col min="14" max="14" width="18.81640625" style="62" hidden="1" customWidth="1"/>
    <col min="15" max="15" width="10.1796875" style="62" hidden="1" customWidth="1"/>
    <col min="16" max="16" width="11.7265625" style="62" bestFit="1" customWidth="1"/>
    <col min="17" max="16384" width="8.7265625" style="62"/>
  </cols>
  <sheetData>
    <row r="1" spans="1:18" s="98" customFormat="1" ht="18">
      <c r="A1" s="97" t="s">
        <v>287</v>
      </c>
    </row>
    <row r="2" spans="1:18">
      <c r="B2" s="6" t="s">
        <v>292</v>
      </c>
    </row>
    <row r="3" spans="1:18">
      <c r="B3" s="4"/>
      <c r="R3" s="17" t="s">
        <v>258</v>
      </c>
    </row>
    <row r="4" spans="1:18" ht="14.5" thickBot="1"/>
    <row r="5" spans="1:18" ht="41.25" customHeight="1" thickTop="1">
      <c r="A5" s="21" t="s">
        <v>120</v>
      </c>
      <c r="B5" s="21" t="s">
        <v>63</v>
      </c>
      <c r="C5" s="60" t="s">
        <v>224</v>
      </c>
      <c r="D5" s="60" t="s">
        <v>245</v>
      </c>
      <c r="E5" s="60" t="s">
        <v>199</v>
      </c>
      <c r="F5" s="60" t="s">
        <v>225</v>
      </c>
      <c r="G5" s="60" t="s">
        <v>226</v>
      </c>
      <c r="H5" s="60" t="s">
        <v>227</v>
      </c>
      <c r="I5" s="60" t="s">
        <v>231</v>
      </c>
      <c r="J5" s="61" t="s">
        <v>232</v>
      </c>
      <c r="K5" s="61" t="s">
        <v>228</v>
      </c>
      <c r="L5" s="61" t="s">
        <v>291</v>
      </c>
      <c r="M5" s="61" t="s">
        <v>284</v>
      </c>
      <c r="N5" s="61" t="s">
        <v>204</v>
      </c>
      <c r="O5" s="61" t="s">
        <v>229</v>
      </c>
      <c r="P5" s="23" t="s">
        <v>277</v>
      </c>
      <c r="Q5" s="23" t="s">
        <v>257</v>
      </c>
    </row>
    <row r="6" spans="1:18" s="74" customFormat="1" ht="26.25" customHeight="1">
      <c r="A6" s="100" t="s">
        <v>144</v>
      </c>
      <c r="B6" s="179" t="s">
        <v>145</v>
      </c>
      <c r="C6" s="171">
        <v>17357.23</v>
      </c>
      <c r="D6" s="171">
        <f>13*9.96</f>
        <v>129.48000000000002</v>
      </c>
      <c r="E6" s="171">
        <v>6545.24</v>
      </c>
      <c r="F6" s="171">
        <f t="shared" ref="F6:F9" si="0">C6/12</f>
        <v>1446.4358333333332</v>
      </c>
      <c r="G6" s="172">
        <f>E6/12</f>
        <v>545.43666666666661</v>
      </c>
      <c r="H6" s="171">
        <v>2422.16</v>
      </c>
      <c r="I6" s="173"/>
      <c r="J6" s="173"/>
      <c r="K6" s="174">
        <f t="shared" ref="K6" si="1">SUM(C6:J6)</f>
        <v>28445.982499999998</v>
      </c>
      <c r="L6" s="175">
        <f>K6*0.2381</f>
        <v>6772.9884332499996</v>
      </c>
      <c r="M6" s="175">
        <f t="shared" ref="M6:M8" si="2">((C6+F6+D6+G6+E6+H6)*0.8)*0.071</f>
        <v>1615.731806</v>
      </c>
      <c r="N6" s="175">
        <f t="shared" ref="N6:N8" si="3">K6*0.085</f>
        <v>2417.9085125000001</v>
      </c>
      <c r="O6" s="175">
        <f>K6+L6+M6</f>
        <v>36834.702739250002</v>
      </c>
      <c r="P6" s="101">
        <f>K6+L6+M6+N6</f>
        <v>39252.611251750001</v>
      </c>
      <c r="Q6" s="102">
        <f>P6/1584</f>
        <v>24.780688921559342</v>
      </c>
    </row>
    <row r="7" spans="1:18" s="74" customFormat="1" ht="26.25" customHeight="1">
      <c r="A7" s="100" t="s">
        <v>146</v>
      </c>
      <c r="B7" s="179" t="s">
        <v>147</v>
      </c>
      <c r="C7" s="171">
        <v>18266.12</v>
      </c>
      <c r="D7" s="171">
        <v>134.41999999999999</v>
      </c>
      <c r="E7" s="171">
        <v>6545.24</v>
      </c>
      <c r="F7" s="171">
        <v>1522.1766666666665</v>
      </c>
      <c r="G7" s="172">
        <v>545.43666666666661</v>
      </c>
      <c r="H7" s="171">
        <v>2422.16</v>
      </c>
      <c r="I7" s="173"/>
      <c r="J7" s="173"/>
      <c r="K7" s="174">
        <v>29435.553333333333</v>
      </c>
      <c r="L7" s="175">
        <f t="shared" ref="L7:L9" si="4">K7*0.2381</f>
        <v>7008.6052486666667</v>
      </c>
      <c r="M7" s="175">
        <f t="shared" si="2"/>
        <v>1671.9394293333335</v>
      </c>
      <c r="N7" s="175">
        <f t="shared" si="3"/>
        <v>2502.0220333333336</v>
      </c>
      <c r="O7" s="175">
        <f>K7+L7+M7</f>
        <v>38116.098011333335</v>
      </c>
      <c r="P7" s="101">
        <f>K7+L7+M7+N7</f>
        <v>40618.12004466667</v>
      </c>
      <c r="Q7" s="102">
        <f>P7/1584</f>
        <v>25.642752553451182</v>
      </c>
    </row>
    <row r="8" spans="1:18" s="74" customFormat="1" ht="26.25" customHeight="1">
      <c r="A8" s="100" t="s">
        <v>148</v>
      </c>
      <c r="B8" s="179" t="s">
        <v>149</v>
      </c>
      <c r="C8" s="171">
        <v>19266.689999999999</v>
      </c>
      <c r="D8" s="171">
        <f>10.75*13</f>
        <v>139.75</v>
      </c>
      <c r="E8" s="171">
        <v>6545.24</v>
      </c>
      <c r="F8" s="171">
        <f t="shared" ref="F8" si="5">C8/12</f>
        <v>1605.5574999999999</v>
      </c>
      <c r="G8" s="172">
        <f t="shared" ref="G8" si="6">E8/12</f>
        <v>545.43666666666661</v>
      </c>
      <c r="H8" s="171">
        <v>2422.16</v>
      </c>
      <c r="I8" s="173"/>
      <c r="J8" s="173"/>
      <c r="K8" s="174">
        <f t="shared" ref="K8" si="7">SUM(C8:J8)</f>
        <v>30524.834166666667</v>
      </c>
      <c r="L8" s="175">
        <f t="shared" si="4"/>
        <v>7267.9630150833336</v>
      </c>
      <c r="M8" s="175">
        <f t="shared" si="2"/>
        <v>1733.8105806666665</v>
      </c>
      <c r="N8" s="175">
        <f t="shared" si="3"/>
        <v>2594.6109041666668</v>
      </c>
      <c r="O8" s="175">
        <f>K8+L8+M8</f>
        <v>39526.607762416665</v>
      </c>
      <c r="P8" s="101">
        <f>K8+L8+M8+N8</f>
        <v>42121.218666583329</v>
      </c>
      <c r="Q8" s="102">
        <f>P8/1584</f>
        <v>26.591678451125841</v>
      </c>
    </row>
    <row r="9" spans="1:18" s="74" customFormat="1" ht="26.25" customHeight="1">
      <c r="A9" s="100" t="s">
        <v>154</v>
      </c>
      <c r="B9" s="179" t="s">
        <v>155</v>
      </c>
      <c r="C9" s="171">
        <v>20207.79</v>
      </c>
      <c r="D9" s="171">
        <f>13*11.2</f>
        <v>145.6</v>
      </c>
      <c r="E9" s="171">
        <v>6682.26</v>
      </c>
      <c r="F9" s="171">
        <f t="shared" si="0"/>
        <v>1683.9825000000001</v>
      </c>
      <c r="G9" s="172">
        <f t="shared" ref="G9" si="8">E9/12</f>
        <v>556.85500000000002</v>
      </c>
      <c r="H9" s="171">
        <v>2909.4</v>
      </c>
      <c r="I9" s="173">
        <v>3098.74</v>
      </c>
      <c r="J9" s="173">
        <f>I9/12</f>
        <v>258.2283333333333</v>
      </c>
      <c r="K9" s="174">
        <f t="shared" ref="K9" si="9">SUM(C9:J9)</f>
        <v>35542.855833333335</v>
      </c>
      <c r="L9" s="175">
        <f t="shared" si="4"/>
        <v>8462.7539739166677</v>
      </c>
      <c r="M9" s="175">
        <f t="shared" ref="M9" si="10">((C9+F9+D9+G9+E9+H9)*0.8)*0.071</f>
        <v>1828.1584099999998</v>
      </c>
      <c r="N9" s="175">
        <f t="shared" ref="N9" si="11">K9*0.085</f>
        <v>3021.1427458333337</v>
      </c>
      <c r="O9" s="175">
        <f>K9+L9+M9</f>
        <v>45833.768217249999</v>
      </c>
      <c r="P9" s="101">
        <f>K9+L9+M9+N9</f>
        <v>48854.910963083334</v>
      </c>
      <c r="Q9" s="102">
        <f>P9/1584</f>
        <v>30.842746820128369</v>
      </c>
    </row>
    <row r="13" spans="1:18" ht="15.75" customHeight="1">
      <c r="B13" s="9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>
      <selection activeCell="A7" sqref="A7"/>
    </sheetView>
  </sheetViews>
  <sheetFormatPr defaultColWidth="8.7265625" defaultRowHeight="14"/>
  <cols>
    <col min="1" max="1" width="62.54296875" style="62" bestFit="1" customWidth="1"/>
    <col min="2" max="2" width="11" style="62" customWidth="1"/>
    <col min="3" max="3" width="12" style="62" customWidth="1"/>
    <col min="4" max="4" width="12.81640625" style="62" hidden="1" customWidth="1"/>
    <col min="5" max="5" width="14.7265625" style="62" hidden="1" customWidth="1"/>
    <col min="6" max="6" width="13.54296875" style="62" hidden="1" customWidth="1"/>
    <col min="7" max="7" width="9.54296875" style="62" hidden="1" customWidth="1"/>
    <col min="8" max="8" width="14.54296875" style="62" hidden="1" customWidth="1"/>
    <col min="9" max="16384" width="8.7265625" style="62"/>
  </cols>
  <sheetData>
    <row r="1" spans="1:9" s="98" customFormat="1" ht="20.25" customHeight="1">
      <c r="A1" s="97" t="s">
        <v>286</v>
      </c>
    </row>
    <row r="2" spans="1:9" ht="14.5" thickBot="1">
      <c r="A2" s="19"/>
      <c r="D2" s="104"/>
      <c r="E2" s="104"/>
      <c r="F2" s="104"/>
      <c r="G2" s="104"/>
      <c r="H2" s="104"/>
    </row>
    <row r="3" spans="1:9" ht="32.5" customHeight="1" thickTop="1" thickBot="1">
      <c r="A3" s="21" t="s">
        <v>62</v>
      </c>
      <c r="B3" s="22" t="s">
        <v>164</v>
      </c>
      <c r="C3" s="23" t="s">
        <v>277</v>
      </c>
      <c r="D3" s="46" t="s">
        <v>285</v>
      </c>
      <c r="E3" s="2" t="s">
        <v>248</v>
      </c>
      <c r="F3" s="2" t="s">
        <v>165</v>
      </c>
      <c r="G3" s="2" t="s">
        <v>166</v>
      </c>
      <c r="H3" s="30" t="s">
        <v>167</v>
      </c>
      <c r="I3" s="23" t="s">
        <v>257</v>
      </c>
    </row>
    <row r="4" spans="1:9" ht="14.5" thickTop="1">
      <c r="A4" s="25" t="s">
        <v>168</v>
      </c>
      <c r="B4" s="3">
        <v>270</v>
      </c>
      <c r="C4" s="103">
        <f>(F4+G4+H4)</f>
        <v>13222.052069000001</v>
      </c>
      <c r="D4" s="63">
        <f>34.55*B4</f>
        <v>9328.5</v>
      </c>
      <c r="E4" s="63">
        <f>13*3.59</f>
        <v>46.67</v>
      </c>
      <c r="F4" s="63">
        <f>D4+E4</f>
        <v>9375.17</v>
      </c>
      <c r="G4" s="63">
        <f>(F4*0.085)+(F4*0.2507)</f>
        <v>3147.244569</v>
      </c>
      <c r="H4" s="105">
        <f>D4*7.5%</f>
        <v>699.63749999999993</v>
      </c>
      <c r="I4" s="113">
        <f>C4/B4</f>
        <v>48.970563218518521</v>
      </c>
    </row>
    <row r="5" spans="1:9">
      <c r="A5" s="25" t="s">
        <v>169</v>
      </c>
      <c r="B5" s="3">
        <v>450</v>
      </c>
      <c r="C5" s="103">
        <f>SUM(F5:H5)</f>
        <v>22036.695567999996</v>
      </c>
      <c r="D5" s="63">
        <f t="shared" ref="D5:D7" si="0">34.55*B5</f>
        <v>15547.499999999998</v>
      </c>
      <c r="E5" s="63">
        <f>5.98*13</f>
        <v>77.740000000000009</v>
      </c>
      <c r="F5" s="63">
        <f t="shared" ref="F5:F7" si="1">D5+E5</f>
        <v>15625.239999999998</v>
      </c>
      <c r="G5" s="63">
        <f>(F5*0.085)+(F5*0.2507)</f>
        <v>5245.3930679999994</v>
      </c>
      <c r="H5" s="105">
        <f t="shared" ref="H5:H7" si="2">D5*7.5%</f>
        <v>1166.0624999999998</v>
      </c>
      <c r="I5" s="113">
        <f>C5/B5</f>
        <v>48.970434595555545</v>
      </c>
    </row>
    <row r="6" spans="1:9">
      <c r="A6" s="25" t="s">
        <v>170</v>
      </c>
      <c r="B6" s="3">
        <v>540</v>
      </c>
      <c r="C6" s="103">
        <f t="shared" ref="C6:C7" si="3">SUM(F6:H6)</f>
        <v>26443.930497000001</v>
      </c>
      <c r="D6" s="63">
        <f t="shared" si="0"/>
        <v>18657</v>
      </c>
      <c r="E6" s="63">
        <f>13*7.17</f>
        <v>93.21</v>
      </c>
      <c r="F6" s="63">
        <f t="shared" si="1"/>
        <v>18750.21</v>
      </c>
      <c r="G6" s="106">
        <f>(F6*0.085)+(F6*0.2507)</f>
        <v>6294.4454969999997</v>
      </c>
      <c r="H6" s="105">
        <f t="shared" si="2"/>
        <v>1399.2749999999999</v>
      </c>
      <c r="I6" s="113">
        <f>C6/B6</f>
        <v>48.97024166111111</v>
      </c>
    </row>
    <row r="7" spans="1:9" ht="14.5" thickBot="1">
      <c r="A7" s="25" t="s">
        <v>171</v>
      </c>
      <c r="B7" s="3">
        <v>630</v>
      </c>
      <c r="C7" s="103">
        <f t="shared" si="3"/>
        <v>30851.339067000001</v>
      </c>
      <c r="D7" s="107">
        <f t="shared" si="0"/>
        <v>21766.5</v>
      </c>
      <c r="E7" s="107">
        <f>13*8.37</f>
        <v>108.80999999999999</v>
      </c>
      <c r="F7" s="107">
        <f t="shared" si="1"/>
        <v>21875.31</v>
      </c>
      <c r="G7" s="107">
        <f>(F7*0.085)+(F7*0.2507)</f>
        <v>7343.5415670000002</v>
      </c>
      <c r="H7" s="108">
        <f t="shared" si="2"/>
        <v>1632.4875</v>
      </c>
      <c r="I7" s="113">
        <f t="shared" ref="I7" si="4">C7/B7</f>
        <v>48.970379471428572</v>
      </c>
    </row>
    <row r="8" spans="1:9" ht="14.5" thickTop="1">
      <c r="I8" s="109"/>
    </row>
    <row r="12" spans="1:9">
      <c r="C12" s="110"/>
    </row>
    <row r="13" spans="1:9">
      <c r="C13" s="110"/>
    </row>
    <row r="14" spans="1:9">
      <c r="C14" s="110"/>
    </row>
    <row r="15" spans="1:9">
      <c r="A15" s="111"/>
      <c r="C15" s="110"/>
    </row>
    <row r="17" spans="1:1" ht="17.5">
      <c r="A17" s="1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6"/>
  <sheetViews>
    <sheetView workbookViewId="0">
      <selection activeCell="B14" sqref="B14"/>
    </sheetView>
  </sheetViews>
  <sheetFormatPr defaultRowHeight="14.5"/>
  <cols>
    <col min="1" max="1" width="29.26953125" customWidth="1"/>
    <col min="2" max="2" width="25.7265625" customWidth="1"/>
    <col min="3" max="3" width="15" hidden="1" customWidth="1"/>
    <col min="4" max="4" width="11.26953125" hidden="1" customWidth="1"/>
    <col min="5" max="5" width="11" hidden="1" customWidth="1"/>
    <col min="6" max="6" width="10.54296875" hidden="1" customWidth="1"/>
    <col min="7" max="9" width="10.26953125" hidden="1" customWidth="1"/>
    <col min="10" max="12" width="9.54296875" hidden="1" customWidth="1"/>
    <col min="13" max="13" width="11.26953125" hidden="1" customWidth="1"/>
    <col min="14" max="14" width="10.54296875" hidden="1" customWidth="1"/>
    <col min="15" max="15" width="19.1796875" customWidth="1"/>
    <col min="16" max="16" width="10.54296875" customWidth="1"/>
    <col min="17" max="17" width="10.26953125" customWidth="1"/>
    <col min="19" max="19" width="17.81640625" customWidth="1"/>
    <col min="20" max="20" width="12" customWidth="1"/>
    <col min="21" max="21" width="12.26953125" customWidth="1"/>
    <col min="22" max="23" width="12" customWidth="1"/>
    <col min="24" max="24" width="10.54296875" customWidth="1"/>
    <col min="25" max="25" width="9.26953125" customWidth="1"/>
    <col min="26" max="26" width="9.54296875" customWidth="1"/>
    <col min="27" max="28" width="9.26953125" customWidth="1"/>
    <col min="29" max="29" width="11.453125" customWidth="1"/>
    <col min="30" max="30" width="10.54296875" customWidth="1"/>
    <col min="31" max="31" width="12.26953125" customWidth="1"/>
    <col min="32" max="32" width="10.54296875" customWidth="1"/>
    <col min="33" max="33" width="9.54296875" customWidth="1"/>
    <col min="34" max="34" width="10.54296875" customWidth="1"/>
    <col min="35" max="35" width="9.26953125" customWidth="1"/>
    <col min="36" max="36" width="9.1796875" customWidth="1"/>
  </cols>
  <sheetData>
    <row r="3" spans="1:15" ht="52">
      <c r="A3" s="22" t="s">
        <v>62</v>
      </c>
      <c r="B3" s="22" t="s">
        <v>3</v>
      </c>
      <c r="C3" s="22" t="s">
        <v>4</v>
      </c>
      <c r="D3" s="22" t="s">
        <v>6</v>
      </c>
      <c r="E3" s="22" t="s">
        <v>217</v>
      </c>
      <c r="F3" s="22" t="s">
        <v>220</v>
      </c>
      <c r="G3" s="22" t="s">
        <v>218</v>
      </c>
      <c r="H3" s="22" t="s">
        <v>8</v>
      </c>
      <c r="I3" s="22" t="s">
        <v>121</v>
      </c>
      <c r="J3" s="22" t="s">
        <v>219</v>
      </c>
      <c r="K3" s="22" t="s">
        <v>175</v>
      </c>
      <c r="L3" s="22" t="s">
        <v>176</v>
      </c>
      <c r="M3" s="22" t="s">
        <v>177</v>
      </c>
      <c r="N3" s="22" t="s">
        <v>10</v>
      </c>
      <c r="O3" s="22" t="s">
        <v>257</v>
      </c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79" t="s">
        <v>216</v>
      </c>
      <c r="B5" s="103">
        <v>80770.21728966666</v>
      </c>
      <c r="C5" s="63">
        <v>34754.04</v>
      </c>
      <c r="D5" s="63">
        <v>7025.14</v>
      </c>
      <c r="E5" s="63">
        <v>11598</v>
      </c>
      <c r="F5" s="63">
        <v>966.5</v>
      </c>
      <c r="G5" s="105">
        <v>501.36</v>
      </c>
      <c r="H5" s="113">
        <v>2896.17</v>
      </c>
      <c r="I5" s="103">
        <v>585.4283333333334</v>
      </c>
      <c r="J5" s="63">
        <v>41.78</v>
      </c>
      <c r="K5" s="63">
        <v>58368.418333333335</v>
      </c>
      <c r="L5" s="63">
        <v>14125.157236666666</v>
      </c>
      <c r="M5" s="63">
        <v>3315.3261613333334</v>
      </c>
      <c r="N5" s="105">
        <v>4961.3155583333337</v>
      </c>
      <c r="O5" s="113">
        <f>B5/1584</f>
        <v>50.991298793981478</v>
      </c>
    </row>
    <row r="6" spans="1:15">
      <c r="A6" s="179" t="s">
        <v>295</v>
      </c>
      <c r="B6" s="103">
        <v>80770.21728966666</v>
      </c>
      <c r="C6" s="63">
        <v>34754.04</v>
      </c>
      <c r="D6" s="63">
        <v>7025.14</v>
      </c>
      <c r="E6" s="63">
        <v>11598</v>
      </c>
      <c r="F6" s="63">
        <v>966.5</v>
      </c>
      <c r="G6" s="105">
        <v>501.36</v>
      </c>
      <c r="H6" s="113">
        <v>2896.17</v>
      </c>
      <c r="I6" s="103">
        <v>585.4283333333334</v>
      </c>
      <c r="J6" s="63">
        <v>41.78</v>
      </c>
      <c r="K6" s="63">
        <v>58368.418333333335</v>
      </c>
      <c r="L6" s="63">
        <v>14125.157236666666</v>
      </c>
      <c r="M6" s="63">
        <v>3315.3261613333334</v>
      </c>
      <c r="N6" s="105">
        <v>4961.3155583333337</v>
      </c>
      <c r="O6" s="113">
        <f>B6/1584</f>
        <v>50.991298793981478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FEAB9-C500-4B5A-ABE7-C0B9EE392453}">
  <dimension ref="A1:H10"/>
  <sheetViews>
    <sheetView workbookViewId="0">
      <selection activeCell="H8" sqref="H8"/>
    </sheetView>
  </sheetViews>
  <sheetFormatPr defaultColWidth="8.7265625" defaultRowHeight="12.5"/>
  <cols>
    <col min="1" max="1" width="26.81640625" style="114" customWidth="1"/>
    <col min="2" max="2" width="15.7265625" style="114" hidden="1" customWidth="1"/>
    <col min="3" max="3" width="25.26953125" style="114" hidden="1" customWidth="1"/>
    <col min="4" max="4" width="27.81640625" style="114" hidden="1" customWidth="1"/>
    <col min="5" max="5" width="15" style="114" hidden="1" customWidth="1"/>
    <col min="6" max="6" width="14.54296875" style="114" customWidth="1"/>
    <col min="7" max="7" width="18.26953125" style="114" customWidth="1"/>
    <col min="8" max="8" width="23.54296875" style="114" customWidth="1"/>
    <col min="9" max="9" width="16.54296875" style="114" customWidth="1"/>
    <col min="10" max="10" width="25.81640625" style="114" customWidth="1"/>
    <col min="11" max="16384" width="8.7265625" style="114"/>
  </cols>
  <sheetData>
    <row r="1" spans="1:8" s="122" customFormat="1" ht="18">
      <c r="A1" s="97" t="s">
        <v>294</v>
      </c>
    </row>
    <row r="2" spans="1:8" ht="18">
      <c r="A2" s="20"/>
    </row>
    <row r="3" spans="1:8">
      <c r="H3" s="114" t="s">
        <v>258</v>
      </c>
    </row>
    <row r="4" spans="1:8" ht="52">
      <c r="A4" s="22" t="s">
        <v>278</v>
      </c>
      <c r="B4" s="48" t="s">
        <v>191</v>
      </c>
      <c r="C4" s="48" t="s">
        <v>192</v>
      </c>
      <c r="D4" s="48" t="s">
        <v>193</v>
      </c>
      <c r="E4" s="48" t="s">
        <v>194</v>
      </c>
      <c r="F4" s="31" t="s">
        <v>277</v>
      </c>
      <c r="G4" s="31" t="s">
        <v>257</v>
      </c>
    </row>
    <row r="5" spans="1:8" ht="13" thickBot="1">
      <c r="A5" s="115"/>
      <c r="B5" s="32" t="s">
        <v>195</v>
      </c>
      <c r="C5" s="32">
        <v>1</v>
      </c>
      <c r="D5" s="32">
        <v>2</v>
      </c>
      <c r="E5" s="33">
        <v>0.39989999999999998</v>
      </c>
      <c r="F5" s="34"/>
      <c r="G5" s="47"/>
    </row>
    <row r="6" spans="1:8" ht="13">
      <c r="A6" s="35" t="s">
        <v>196</v>
      </c>
      <c r="B6" s="36">
        <v>30405.58</v>
      </c>
      <c r="C6" s="36">
        <f>B6-D6</f>
        <v>24324.464</v>
      </c>
      <c r="D6" s="36">
        <f>B6*20%</f>
        <v>6081.1160000000009</v>
      </c>
      <c r="E6" s="36">
        <f>B6*E5</f>
        <v>12159.191441999999</v>
      </c>
      <c r="F6" s="116">
        <f>C6+D6+E6</f>
        <v>42564.771441999997</v>
      </c>
      <c r="G6" s="118">
        <f>F6/1584</f>
        <v>26.871699142676768</v>
      </c>
    </row>
    <row r="7" spans="1:8" ht="13.5" thickBot="1">
      <c r="A7" s="37" t="s">
        <v>197</v>
      </c>
      <c r="B7" s="38">
        <v>53729.42</v>
      </c>
      <c r="C7" s="38">
        <f>B7-D7</f>
        <v>42983.536</v>
      </c>
      <c r="D7" s="38">
        <f>B7*20%</f>
        <v>10745.884</v>
      </c>
      <c r="E7" s="38">
        <f>B7*E5</f>
        <v>21486.395057999998</v>
      </c>
      <c r="F7" s="117">
        <f>C7+D7+E7</f>
        <v>75215.815057999993</v>
      </c>
      <c r="G7" s="119">
        <f>F7/1584</f>
        <v>47.484731728535351</v>
      </c>
    </row>
    <row r="10" spans="1:8" s="121" customFormat="1" ht="11.5">
      <c r="A10" s="120" t="s">
        <v>293</v>
      </c>
      <c r="B10" s="120"/>
      <c r="C10" s="120"/>
      <c r="D10" s="1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F70"/>
  <sheetViews>
    <sheetView topLeftCell="A19" workbookViewId="0">
      <selection activeCell="D17" sqref="D17"/>
    </sheetView>
  </sheetViews>
  <sheetFormatPr defaultColWidth="7.1796875" defaultRowHeight="14"/>
  <cols>
    <col min="1" max="1" width="9.26953125" style="166" customWidth="1"/>
    <col min="2" max="2" width="10.54296875" style="64" customWidth="1"/>
    <col min="3" max="3" width="9.26953125" style="64" customWidth="1"/>
    <col min="4" max="4" width="10.26953125" style="64" customWidth="1"/>
    <col min="5" max="5" width="22" style="64" customWidth="1"/>
    <col min="6" max="6" width="14.26953125" style="74" customWidth="1"/>
    <col min="7" max="7" width="8.81640625" style="64" hidden="1" customWidth="1"/>
    <col min="8" max="8" width="9.81640625" style="64" hidden="1" customWidth="1"/>
    <col min="9" max="10" width="8.81640625" style="64" hidden="1" customWidth="1"/>
    <col min="11" max="11" width="7.81640625" style="64" hidden="1" customWidth="1"/>
    <col min="12" max="12" width="7.1796875" style="64" hidden="1" customWidth="1"/>
    <col min="13" max="13" width="9.81640625" style="64" hidden="1" customWidth="1"/>
    <col min="14" max="15" width="8.81640625" style="64" hidden="1" customWidth="1"/>
    <col min="16" max="17" width="7.81640625" style="64" hidden="1" customWidth="1"/>
    <col min="18" max="18" width="9.7265625" style="64" hidden="1" customWidth="1"/>
    <col min="19" max="19" width="14.7265625" style="64" customWidth="1"/>
    <col min="20" max="21" width="9.1796875" style="64" bestFit="1" customWidth="1"/>
    <col min="22" max="22" width="14.453125" style="64" bestFit="1" customWidth="1"/>
    <col min="23" max="24" width="9.26953125" style="64" bestFit="1" customWidth="1"/>
    <col min="25" max="16384" width="7.1796875" style="64"/>
  </cols>
  <sheetData>
    <row r="1" spans="1:84" s="81" customFormat="1" ht="38.25" customHeight="1">
      <c r="A1" s="126" t="s">
        <v>279</v>
      </c>
      <c r="B1" s="145"/>
      <c r="C1" s="146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84" ht="17.25" customHeight="1">
      <c r="A2" s="149" t="s">
        <v>288</v>
      </c>
      <c r="B2" s="123"/>
      <c r="C2" s="150"/>
      <c r="D2" s="151"/>
      <c r="E2" s="152"/>
      <c r="F2" s="153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T2" s="154" t="s">
        <v>259</v>
      </c>
    </row>
    <row r="3" spans="1:84" ht="16.5" customHeight="1">
      <c r="A3" s="39"/>
      <c r="B3" s="123"/>
      <c r="C3" s="150"/>
      <c r="D3" s="151"/>
      <c r="E3" s="152"/>
      <c r="F3" s="153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T3" s="17" t="s">
        <v>260</v>
      </c>
    </row>
    <row r="4" spans="1:84" ht="51.75" customHeight="1">
      <c r="A4" s="21" t="s">
        <v>0</v>
      </c>
      <c r="B4" s="21" t="s">
        <v>1</v>
      </c>
      <c r="C4" s="21" t="s">
        <v>2</v>
      </c>
      <c r="D4" s="21" t="s">
        <v>61</v>
      </c>
      <c r="E4" s="21" t="s">
        <v>62</v>
      </c>
      <c r="F4" s="22" t="s">
        <v>3</v>
      </c>
      <c r="G4" s="24" t="s">
        <v>4</v>
      </c>
      <c r="H4" s="24" t="s">
        <v>5</v>
      </c>
      <c r="I4" s="24" t="s">
        <v>6</v>
      </c>
      <c r="J4" s="24" t="s">
        <v>7</v>
      </c>
      <c r="K4" s="24" t="s">
        <v>8</v>
      </c>
      <c r="L4" s="24" t="s">
        <v>9</v>
      </c>
      <c r="M4" s="24" t="s">
        <v>87</v>
      </c>
      <c r="N4" s="24" t="s">
        <v>10</v>
      </c>
      <c r="O4" s="24" t="s">
        <v>11</v>
      </c>
      <c r="P4" s="45" t="s">
        <v>64</v>
      </c>
      <c r="Q4" s="24" t="s">
        <v>12</v>
      </c>
      <c r="R4" s="45" t="s">
        <v>13</v>
      </c>
      <c r="S4" s="23" t="s">
        <v>257</v>
      </c>
    </row>
    <row r="5" spans="1:84" ht="20.149999999999999" customHeight="1">
      <c r="A5" s="25" t="s">
        <v>59</v>
      </c>
      <c r="B5" s="155" t="s">
        <v>88</v>
      </c>
      <c r="C5" s="25">
        <v>0</v>
      </c>
      <c r="D5" s="155" t="s">
        <v>65</v>
      </c>
      <c r="E5" s="155" t="s">
        <v>89</v>
      </c>
      <c r="F5" s="167">
        <f>M5+N5+R5</f>
        <v>51667.722954533339</v>
      </c>
      <c r="G5" s="156">
        <v>23469.86</v>
      </c>
      <c r="H5" s="156">
        <v>0</v>
      </c>
      <c r="I5" s="156">
        <v>10485.78</v>
      </c>
      <c r="J5" s="156"/>
      <c r="K5" s="156">
        <f t="shared" ref="K5:K31" si="0">(G5+H5)/12</f>
        <v>1955.8216666666667</v>
      </c>
      <c r="L5" s="156">
        <f t="shared" ref="L5:L31" si="1">I5/12</f>
        <v>873.81500000000005</v>
      </c>
      <c r="M5" s="156">
        <f t="shared" ref="M5:M31" si="2">SUM(G5:L5)</f>
        <v>36785.276666666672</v>
      </c>
      <c r="N5" s="156">
        <f t="shared" ref="N5:N31" si="3">M5*8.5/100</f>
        <v>3126.748516666667</v>
      </c>
      <c r="O5" s="156">
        <f t="shared" ref="O5:O31" si="4">M5*24.2/100</f>
        <v>8902.0369533333342</v>
      </c>
      <c r="P5" s="156">
        <f>(G5+H5)*18%*24.2%</f>
        <v>1022.3471016000001</v>
      </c>
      <c r="Q5" s="156">
        <f t="shared" ref="Q5:Q31" si="5">(G5+H5+K5)*80%*7.1%+(I5+L5)*80%*60%*7.1%</f>
        <v>1831.3137162666667</v>
      </c>
      <c r="R5" s="156">
        <f t="shared" ref="R5:R31" si="6">O5+P5+Q5</f>
        <v>11755.697771200001</v>
      </c>
      <c r="S5" s="169">
        <f>F5/750</f>
        <v>68.890297272711123</v>
      </c>
      <c r="T5" s="70"/>
      <c r="V5" s="157"/>
      <c r="W5" s="157"/>
      <c r="X5" s="158"/>
    </row>
    <row r="6" spans="1:84" s="159" customFormat="1" ht="20.149999999999999" customHeight="1">
      <c r="A6" s="25" t="s">
        <v>59</v>
      </c>
      <c r="B6" s="155" t="s">
        <v>88</v>
      </c>
      <c r="C6" s="25">
        <v>1</v>
      </c>
      <c r="D6" s="155" t="s">
        <v>65</v>
      </c>
      <c r="E6" s="155" t="s">
        <v>91</v>
      </c>
      <c r="F6" s="167">
        <f t="shared" ref="F6:F31" si="7">M6+N6+R6</f>
        <v>54164.699407200002</v>
      </c>
      <c r="G6" s="156">
        <v>23469.86</v>
      </c>
      <c r="H6" s="156">
        <v>1618.6</v>
      </c>
      <c r="I6" s="156">
        <v>10485.78</v>
      </c>
      <c r="J6" s="156"/>
      <c r="K6" s="156">
        <f t="shared" si="0"/>
        <v>2090.7049999999999</v>
      </c>
      <c r="L6" s="156">
        <f t="shared" si="1"/>
        <v>873.81500000000005</v>
      </c>
      <c r="M6" s="156">
        <f t="shared" si="2"/>
        <v>38538.76</v>
      </c>
      <c r="N6" s="156">
        <f t="shared" si="3"/>
        <v>3275.7946000000002</v>
      </c>
      <c r="O6" s="156">
        <f t="shared" si="4"/>
        <v>9326.3799199999994</v>
      </c>
      <c r="P6" s="156">
        <f t="shared" ref="P6:P17" si="8">(G6+H6)*18%*24.2%</f>
        <v>1092.8533175999999</v>
      </c>
      <c r="Q6" s="156">
        <f t="shared" si="5"/>
        <v>1930.9115695999999</v>
      </c>
      <c r="R6" s="156">
        <f t="shared" si="6"/>
        <v>12350.144807199998</v>
      </c>
      <c r="S6" s="169">
        <f t="shared" ref="S6:S17" si="9">F6/750</f>
        <v>72.219599209600005</v>
      </c>
      <c r="T6" s="64"/>
      <c r="U6" s="64"/>
      <c r="V6" s="157"/>
      <c r="W6" s="157"/>
      <c r="X6" s="158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</row>
    <row r="7" spans="1:84" ht="20.149999999999999" customHeight="1">
      <c r="A7" s="25" t="s">
        <v>59</v>
      </c>
      <c r="B7" s="155" t="s">
        <v>88</v>
      </c>
      <c r="C7" s="25">
        <v>2</v>
      </c>
      <c r="D7" s="155" t="s">
        <v>65</v>
      </c>
      <c r="E7" s="155" t="s">
        <v>93</v>
      </c>
      <c r="F7" s="167">
        <f t="shared" si="7"/>
        <v>59158.667739300014</v>
      </c>
      <c r="G7" s="156">
        <v>23469.86</v>
      </c>
      <c r="H7" s="156">
        <v>4855.8100000000004</v>
      </c>
      <c r="I7" s="156">
        <v>10485.78</v>
      </c>
      <c r="J7" s="156"/>
      <c r="K7" s="156">
        <f t="shared" si="0"/>
        <v>2360.4725000000003</v>
      </c>
      <c r="L7" s="156">
        <f t="shared" si="1"/>
        <v>873.81500000000005</v>
      </c>
      <c r="M7" s="156">
        <f t="shared" si="2"/>
        <v>42045.73750000001</v>
      </c>
      <c r="N7" s="156">
        <f t="shared" si="3"/>
        <v>3573.887687500001</v>
      </c>
      <c r="O7" s="156">
        <f t="shared" si="4"/>
        <v>10175.068475000002</v>
      </c>
      <c r="P7" s="156">
        <f t="shared" si="8"/>
        <v>1233.8661852</v>
      </c>
      <c r="Q7" s="156">
        <f t="shared" si="5"/>
        <v>2130.1078916000001</v>
      </c>
      <c r="R7" s="156">
        <f t="shared" si="6"/>
        <v>13539.042551800003</v>
      </c>
      <c r="S7" s="169">
        <f t="shared" si="9"/>
        <v>78.878223652400024</v>
      </c>
      <c r="V7" s="157"/>
      <c r="W7" s="157"/>
      <c r="X7" s="158"/>
    </row>
    <row r="8" spans="1:84" s="159" customFormat="1" ht="20.149999999999999" customHeight="1">
      <c r="A8" s="25" t="s">
        <v>59</v>
      </c>
      <c r="B8" s="155" t="s">
        <v>88</v>
      </c>
      <c r="C8" s="25">
        <v>3</v>
      </c>
      <c r="D8" s="155" t="s">
        <v>65</v>
      </c>
      <c r="E8" s="155" t="s">
        <v>95</v>
      </c>
      <c r="F8" s="167">
        <f t="shared" si="7"/>
        <v>61655.6750455</v>
      </c>
      <c r="G8" s="156">
        <v>23469.86</v>
      </c>
      <c r="H8" s="156">
        <v>6474.43</v>
      </c>
      <c r="I8" s="156">
        <v>10485.78</v>
      </c>
      <c r="J8" s="156"/>
      <c r="K8" s="156">
        <f t="shared" si="0"/>
        <v>2495.3575000000001</v>
      </c>
      <c r="L8" s="156">
        <f t="shared" si="1"/>
        <v>873.81500000000005</v>
      </c>
      <c r="M8" s="156">
        <f t="shared" si="2"/>
        <v>43799.2425</v>
      </c>
      <c r="N8" s="156">
        <f t="shared" si="3"/>
        <v>3722.9356125000004</v>
      </c>
      <c r="O8" s="156">
        <f t="shared" si="4"/>
        <v>10599.416684999998</v>
      </c>
      <c r="P8" s="156">
        <f t="shared" si="8"/>
        <v>1304.3732723999999</v>
      </c>
      <c r="Q8" s="156">
        <f t="shared" si="5"/>
        <v>2229.7069756000001</v>
      </c>
      <c r="R8" s="156">
        <f t="shared" si="6"/>
        <v>14133.496932999999</v>
      </c>
      <c r="S8" s="169">
        <f t="shared" si="9"/>
        <v>82.207566727333329</v>
      </c>
      <c r="T8" s="64"/>
      <c r="U8" s="64"/>
      <c r="V8" s="157"/>
      <c r="W8" s="157"/>
      <c r="X8" s="158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</row>
    <row r="9" spans="1:84" ht="20.149999999999999" customHeight="1">
      <c r="A9" s="25" t="s">
        <v>59</v>
      </c>
      <c r="B9" s="155" t="s">
        <v>88</v>
      </c>
      <c r="C9" s="25">
        <v>4</v>
      </c>
      <c r="D9" s="155" t="s">
        <v>65</v>
      </c>
      <c r="E9" s="155" t="s">
        <v>97</v>
      </c>
      <c r="F9" s="167">
        <f t="shared" si="7"/>
        <v>63965.401404366668</v>
      </c>
      <c r="G9" s="156">
        <v>23469.86</v>
      </c>
      <c r="H9" s="156">
        <v>7971.65</v>
      </c>
      <c r="I9" s="156">
        <v>10485.78</v>
      </c>
      <c r="J9" s="156"/>
      <c r="K9" s="156">
        <f t="shared" si="0"/>
        <v>2620.1258333333335</v>
      </c>
      <c r="L9" s="156">
        <f t="shared" si="1"/>
        <v>873.81500000000005</v>
      </c>
      <c r="M9" s="156">
        <f t="shared" si="2"/>
        <v>45421.230833333335</v>
      </c>
      <c r="N9" s="156">
        <f t="shared" si="3"/>
        <v>3860.8046208333335</v>
      </c>
      <c r="O9" s="156">
        <f t="shared" si="4"/>
        <v>10991.937861666667</v>
      </c>
      <c r="P9" s="156">
        <f t="shared" si="8"/>
        <v>1369.5921756</v>
      </c>
      <c r="Q9" s="156">
        <f t="shared" si="5"/>
        <v>2321.8359129333335</v>
      </c>
      <c r="R9" s="156">
        <f t="shared" si="6"/>
        <v>14683.365950200001</v>
      </c>
      <c r="S9" s="169">
        <f t="shared" si="9"/>
        <v>85.287201872488893</v>
      </c>
      <c r="V9" s="157"/>
      <c r="W9" s="157"/>
      <c r="X9" s="158"/>
    </row>
    <row r="10" spans="1:84" s="159" customFormat="1" ht="20.149999999999999" customHeight="1">
      <c r="A10" s="25" t="s">
        <v>59</v>
      </c>
      <c r="B10" s="155" t="s">
        <v>88</v>
      </c>
      <c r="C10" s="25">
        <v>5</v>
      </c>
      <c r="D10" s="155" t="s">
        <v>65</v>
      </c>
      <c r="E10" s="155" t="s">
        <v>99</v>
      </c>
      <c r="F10" s="167">
        <f t="shared" si="7"/>
        <v>65120.280010566676</v>
      </c>
      <c r="G10" s="156">
        <v>23469.86</v>
      </c>
      <c r="H10" s="156">
        <v>8720.27</v>
      </c>
      <c r="I10" s="156">
        <v>10485.78</v>
      </c>
      <c r="J10" s="156"/>
      <c r="K10" s="156">
        <f t="shared" si="0"/>
        <v>2682.5108333333333</v>
      </c>
      <c r="L10" s="156">
        <f t="shared" si="1"/>
        <v>873.81500000000005</v>
      </c>
      <c r="M10" s="156">
        <f t="shared" si="2"/>
        <v>46232.23583333334</v>
      </c>
      <c r="N10" s="156">
        <f t="shared" si="3"/>
        <v>3929.7400458333341</v>
      </c>
      <c r="O10" s="156">
        <f t="shared" si="4"/>
        <v>11188.201071666668</v>
      </c>
      <c r="P10" s="156">
        <f t="shared" si="8"/>
        <v>1402.2020628</v>
      </c>
      <c r="Q10" s="156">
        <f t="shared" si="5"/>
        <v>2367.9009969333333</v>
      </c>
      <c r="R10" s="156">
        <f t="shared" si="6"/>
        <v>14958.304131400002</v>
      </c>
      <c r="S10" s="169">
        <f t="shared" si="9"/>
        <v>86.827040014088894</v>
      </c>
      <c r="T10" s="64"/>
      <c r="U10" s="64"/>
      <c r="V10" s="157"/>
      <c r="W10" s="157"/>
      <c r="X10" s="158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</row>
    <row r="11" spans="1:84" ht="20.149999999999999" customHeight="1">
      <c r="A11" s="25" t="s">
        <v>59</v>
      </c>
      <c r="B11" s="155" t="s">
        <v>88</v>
      </c>
      <c r="C11" s="25">
        <v>6</v>
      </c>
      <c r="D11" s="155" t="s">
        <v>65</v>
      </c>
      <c r="E11" s="155" t="s">
        <v>101</v>
      </c>
      <c r="F11" s="167">
        <f t="shared" si="7"/>
        <v>67429.975515900005</v>
      </c>
      <c r="G11" s="156">
        <v>23469.86</v>
      </c>
      <c r="H11" s="156">
        <v>10217.469999999999</v>
      </c>
      <c r="I11" s="156">
        <v>10485.78</v>
      </c>
      <c r="J11" s="156"/>
      <c r="K11" s="156">
        <f t="shared" si="0"/>
        <v>2807.2775000000001</v>
      </c>
      <c r="L11" s="156">
        <f t="shared" si="1"/>
        <v>873.81500000000005</v>
      </c>
      <c r="M11" s="156">
        <f t="shared" si="2"/>
        <v>47854.202499999999</v>
      </c>
      <c r="N11" s="156">
        <f t="shared" si="3"/>
        <v>4067.6072125000001</v>
      </c>
      <c r="O11" s="156">
        <f t="shared" si="4"/>
        <v>11580.717005</v>
      </c>
      <c r="P11" s="156">
        <f t="shared" si="8"/>
        <v>1467.4200948</v>
      </c>
      <c r="Q11" s="156">
        <f t="shared" si="5"/>
        <v>2460.0287036</v>
      </c>
      <c r="R11" s="156">
        <f t="shared" si="6"/>
        <v>15508.165803399999</v>
      </c>
      <c r="S11" s="169">
        <f t="shared" si="9"/>
        <v>89.906634021200006</v>
      </c>
      <c r="V11" s="157"/>
      <c r="W11" s="157"/>
      <c r="X11" s="158"/>
    </row>
    <row r="12" spans="1:84" s="159" customFormat="1" ht="20.149999999999999" customHeight="1">
      <c r="A12" s="25" t="s">
        <v>59</v>
      </c>
      <c r="B12" s="155" t="s">
        <v>88</v>
      </c>
      <c r="C12" s="25">
        <v>7</v>
      </c>
      <c r="D12" s="155" t="s">
        <v>65</v>
      </c>
      <c r="E12" s="155" t="s">
        <v>103</v>
      </c>
      <c r="F12" s="167">
        <f t="shared" si="7"/>
        <v>68584.85412209999</v>
      </c>
      <c r="G12" s="156">
        <v>23469.86</v>
      </c>
      <c r="H12" s="156">
        <v>10966.09</v>
      </c>
      <c r="I12" s="156">
        <v>10485.78</v>
      </c>
      <c r="J12" s="156"/>
      <c r="K12" s="156">
        <f t="shared" si="0"/>
        <v>2869.6624999999999</v>
      </c>
      <c r="L12" s="156">
        <f t="shared" si="1"/>
        <v>873.81500000000005</v>
      </c>
      <c r="M12" s="156">
        <f t="shared" si="2"/>
        <v>48665.207499999997</v>
      </c>
      <c r="N12" s="156">
        <f t="shared" si="3"/>
        <v>4136.5426374999997</v>
      </c>
      <c r="O12" s="156">
        <f t="shared" si="4"/>
        <v>11776.980214999998</v>
      </c>
      <c r="P12" s="156">
        <f t="shared" si="8"/>
        <v>1500.0299819999998</v>
      </c>
      <c r="Q12" s="156">
        <f t="shared" si="5"/>
        <v>2506.0937875999998</v>
      </c>
      <c r="R12" s="156">
        <f t="shared" si="6"/>
        <v>15783.103984599999</v>
      </c>
      <c r="S12" s="169">
        <f t="shared" si="9"/>
        <v>91.446472162799992</v>
      </c>
      <c r="T12" s="64"/>
      <c r="U12" s="64"/>
      <c r="V12" s="157"/>
      <c r="W12" s="157"/>
      <c r="X12" s="158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</row>
    <row r="13" spans="1:84" ht="20.149999999999999" customHeight="1">
      <c r="A13" s="25" t="s">
        <v>59</v>
      </c>
      <c r="B13" s="155" t="s">
        <v>88</v>
      </c>
      <c r="C13" s="25">
        <v>8</v>
      </c>
      <c r="D13" s="155" t="s">
        <v>65</v>
      </c>
      <c r="E13" s="155" t="s">
        <v>105</v>
      </c>
      <c r="F13" s="167">
        <f t="shared" si="7"/>
        <v>70894.549627433342</v>
      </c>
      <c r="G13" s="156">
        <v>23469.86</v>
      </c>
      <c r="H13" s="156">
        <v>12463.29</v>
      </c>
      <c r="I13" s="156">
        <v>10485.78</v>
      </c>
      <c r="J13" s="156"/>
      <c r="K13" s="156">
        <f t="shared" si="0"/>
        <v>2994.4291666666668</v>
      </c>
      <c r="L13" s="156">
        <f t="shared" si="1"/>
        <v>873.81500000000005</v>
      </c>
      <c r="M13" s="156">
        <f t="shared" si="2"/>
        <v>50287.174166666671</v>
      </c>
      <c r="N13" s="156">
        <f t="shared" si="3"/>
        <v>4274.4098041666675</v>
      </c>
      <c r="O13" s="156">
        <f t="shared" si="4"/>
        <v>12169.496148333334</v>
      </c>
      <c r="P13" s="156">
        <f t="shared" si="8"/>
        <v>1565.2480139999998</v>
      </c>
      <c r="Q13" s="156">
        <f t="shared" si="5"/>
        <v>2598.2214942666669</v>
      </c>
      <c r="R13" s="156">
        <f t="shared" si="6"/>
        <v>16332.965656599999</v>
      </c>
      <c r="S13" s="169">
        <f t="shared" si="9"/>
        <v>94.526066169911118</v>
      </c>
      <c r="V13" s="157"/>
      <c r="W13" s="157"/>
      <c r="X13" s="158"/>
    </row>
    <row r="14" spans="1:84" s="159" customFormat="1" ht="20.149999999999999" customHeight="1">
      <c r="A14" s="25" t="s">
        <v>59</v>
      </c>
      <c r="B14" s="155" t="s">
        <v>88</v>
      </c>
      <c r="C14" s="25">
        <v>9</v>
      </c>
      <c r="D14" s="155" t="s">
        <v>65</v>
      </c>
      <c r="E14" s="155" t="s">
        <v>107</v>
      </c>
      <c r="F14" s="167">
        <f t="shared" si="7"/>
        <v>72049.428233633342</v>
      </c>
      <c r="G14" s="156">
        <v>23469.86</v>
      </c>
      <c r="H14" s="156">
        <v>13211.91</v>
      </c>
      <c r="I14" s="156">
        <v>10485.78</v>
      </c>
      <c r="J14" s="156"/>
      <c r="K14" s="156">
        <f t="shared" si="0"/>
        <v>3056.814166666667</v>
      </c>
      <c r="L14" s="156">
        <f t="shared" si="1"/>
        <v>873.81500000000005</v>
      </c>
      <c r="M14" s="156">
        <f t="shared" si="2"/>
        <v>51098.179166666669</v>
      </c>
      <c r="N14" s="156">
        <f t="shared" si="3"/>
        <v>4343.3452291666672</v>
      </c>
      <c r="O14" s="156">
        <f t="shared" si="4"/>
        <v>12365.759358333333</v>
      </c>
      <c r="P14" s="156">
        <f t="shared" si="8"/>
        <v>1597.8579012</v>
      </c>
      <c r="Q14" s="156">
        <f t="shared" si="5"/>
        <v>2644.2865782666668</v>
      </c>
      <c r="R14" s="156">
        <f t="shared" si="6"/>
        <v>16607.9038378</v>
      </c>
      <c r="S14" s="169">
        <f t="shared" si="9"/>
        <v>96.065904311511119</v>
      </c>
      <c r="T14" s="64"/>
      <c r="U14" s="64"/>
      <c r="V14" s="157"/>
      <c r="W14" s="157"/>
      <c r="X14" s="158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</row>
    <row r="15" spans="1:84" ht="20.149999999999999" customHeight="1">
      <c r="A15" s="25" t="s">
        <v>59</v>
      </c>
      <c r="B15" s="155" t="s">
        <v>88</v>
      </c>
      <c r="C15" s="25">
        <v>10</v>
      </c>
      <c r="D15" s="155" t="s">
        <v>65</v>
      </c>
      <c r="E15" s="155" t="s">
        <v>109</v>
      </c>
      <c r="F15" s="167">
        <f t="shared" si="7"/>
        <v>74359.123738966679</v>
      </c>
      <c r="G15" s="156">
        <v>23469.86</v>
      </c>
      <c r="H15" s="156">
        <v>14709.11</v>
      </c>
      <c r="I15" s="156">
        <v>10485.78</v>
      </c>
      <c r="J15" s="156"/>
      <c r="K15" s="156">
        <f t="shared" si="0"/>
        <v>3181.5808333333334</v>
      </c>
      <c r="L15" s="156">
        <f t="shared" si="1"/>
        <v>873.81500000000005</v>
      </c>
      <c r="M15" s="156">
        <f t="shared" si="2"/>
        <v>52720.145833333336</v>
      </c>
      <c r="N15" s="156">
        <f t="shared" si="3"/>
        <v>4481.2123958333341</v>
      </c>
      <c r="O15" s="156">
        <f t="shared" si="4"/>
        <v>12758.275291666669</v>
      </c>
      <c r="P15" s="156">
        <f t="shared" si="8"/>
        <v>1663.0759332</v>
      </c>
      <c r="Q15" s="156">
        <f t="shared" si="5"/>
        <v>2736.4142849333334</v>
      </c>
      <c r="R15" s="156">
        <f t="shared" si="6"/>
        <v>17157.765509800003</v>
      </c>
      <c r="S15" s="169">
        <f t="shared" si="9"/>
        <v>99.145498318622245</v>
      </c>
      <c r="V15" s="157"/>
      <c r="W15" s="157"/>
      <c r="X15" s="158"/>
    </row>
    <row r="16" spans="1:84" s="159" customFormat="1" ht="20.149999999999999" customHeight="1">
      <c r="A16" s="25" t="s">
        <v>59</v>
      </c>
      <c r="B16" s="155" t="s">
        <v>88</v>
      </c>
      <c r="C16" s="25">
        <v>11</v>
      </c>
      <c r="D16" s="155" t="s">
        <v>65</v>
      </c>
      <c r="E16" s="155" t="s">
        <v>111</v>
      </c>
      <c r="F16" s="167">
        <f t="shared" si="7"/>
        <v>75513.986918399998</v>
      </c>
      <c r="G16" s="156">
        <v>23469.86</v>
      </c>
      <c r="H16" s="156">
        <v>15457.72</v>
      </c>
      <c r="I16" s="156">
        <v>10485.78</v>
      </c>
      <c r="J16" s="156"/>
      <c r="K16" s="156">
        <f t="shared" si="0"/>
        <v>3243.9650000000001</v>
      </c>
      <c r="L16" s="156">
        <f t="shared" si="1"/>
        <v>873.81500000000005</v>
      </c>
      <c r="M16" s="156">
        <f t="shared" si="2"/>
        <v>53531.14</v>
      </c>
      <c r="N16" s="156">
        <f t="shared" si="3"/>
        <v>4550.1468999999997</v>
      </c>
      <c r="O16" s="156">
        <f t="shared" si="4"/>
        <v>12954.535879999999</v>
      </c>
      <c r="P16" s="156">
        <f t="shared" si="8"/>
        <v>1695.6853847999998</v>
      </c>
      <c r="Q16" s="156">
        <f t="shared" si="5"/>
        <v>2782.4787535999999</v>
      </c>
      <c r="R16" s="156">
        <f t="shared" si="6"/>
        <v>17432.700018399999</v>
      </c>
      <c r="S16" s="169">
        <f t="shared" si="9"/>
        <v>100.68531589119999</v>
      </c>
      <c r="T16" s="64"/>
      <c r="U16" s="64"/>
      <c r="V16" s="157"/>
      <c r="W16" s="157"/>
      <c r="X16" s="158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</row>
    <row r="17" spans="1:84" ht="20.149999999999999" customHeight="1">
      <c r="A17" s="25" t="s">
        <v>59</v>
      </c>
      <c r="B17" s="155" t="s">
        <v>88</v>
      </c>
      <c r="C17" s="25">
        <v>12</v>
      </c>
      <c r="D17" s="155" t="s">
        <v>65</v>
      </c>
      <c r="E17" s="155" t="s">
        <v>113</v>
      </c>
      <c r="F17" s="167">
        <f t="shared" si="7"/>
        <v>77823.713277266681</v>
      </c>
      <c r="G17" s="156">
        <v>23469.86</v>
      </c>
      <c r="H17" s="156">
        <v>16954.939999999999</v>
      </c>
      <c r="I17" s="156">
        <v>10485.78</v>
      </c>
      <c r="J17" s="156"/>
      <c r="K17" s="156">
        <f t="shared" si="0"/>
        <v>3368.7333333333336</v>
      </c>
      <c r="L17" s="156">
        <f t="shared" si="1"/>
        <v>873.81500000000005</v>
      </c>
      <c r="M17" s="156">
        <f t="shared" si="2"/>
        <v>55153.128333333341</v>
      </c>
      <c r="N17" s="156">
        <f t="shared" si="3"/>
        <v>4688.0159083333338</v>
      </c>
      <c r="O17" s="156">
        <f t="shared" si="4"/>
        <v>13347.057056666668</v>
      </c>
      <c r="P17" s="156">
        <f t="shared" si="8"/>
        <v>1760.904288</v>
      </c>
      <c r="Q17" s="156">
        <f t="shared" si="5"/>
        <v>2874.6076909333337</v>
      </c>
      <c r="R17" s="156">
        <f t="shared" si="6"/>
        <v>17982.569035600001</v>
      </c>
      <c r="S17" s="169">
        <f t="shared" si="9"/>
        <v>103.76495103635557</v>
      </c>
      <c r="V17" s="157"/>
      <c r="W17" s="157"/>
      <c r="X17" s="158"/>
    </row>
    <row r="18" spans="1:84" ht="20.149999999999999" customHeight="1">
      <c r="A18" s="160"/>
      <c r="B18" s="161"/>
      <c r="C18" s="160"/>
      <c r="D18" s="161"/>
      <c r="E18" s="161"/>
      <c r="F18" s="168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70"/>
      <c r="V18" s="157"/>
      <c r="W18" s="157"/>
      <c r="X18" s="158"/>
    </row>
    <row r="19" spans="1:84" s="164" customFormat="1" ht="20.149999999999999" customHeight="1">
      <c r="A19" s="25" t="s">
        <v>59</v>
      </c>
      <c r="B19" s="155" t="s">
        <v>88</v>
      </c>
      <c r="C19" s="25">
        <v>0</v>
      </c>
      <c r="D19" s="155" t="s">
        <v>66</v>
      </c>
      <c r="E19" s="155" t="s">
        <v>90</v>
      </c>
      <c r="F19" s="167">
        <f t="shared" si="7"/>
        <v>73596.856234600011</v>
      </c>
      <c r="G19" s="163">
        <v>32243.59</v>
      </c>
      <c r="H19" s="163">
        <v>0</v>
      </c>
      <c r="I19" s="163">
        <v>11006.23</v>
      </c>
      <c r="J19" s="163">
        <v>6805.75</v>
      </c>
      <c r="K19" s="163">
        <f t="shared" si="0"/>
        <v>2686.9658333333332</v>
      </c>
      <c r="L19" s="163">
        <f t="shared" si="1"/>
        <v>917.18583333333333</v>
      </c>
      <c r="M19" s="163">
        <f t="shared" si="2"/>
        <v>53659.721666666672</v>
      </c>
      <c r="N19" s="163">
        <f t="shared" si="3"/>
        <v>4561.0763416666668</v>
      </c>
      <c r="O19" s="163">
        <f t="shared" si="4"/>
        <v>12985.652643333333</v>
      </c>
      <c r="P19" s="163"/>
      <c r="Q19" s="163">
        <f t="shared" si="5"/>
        <v>2390.4055829333329</v>
      </c>
      <c r="R19" s="163">
        <f t="shared" si="6"/>
        <v>15376.058226266665</v>
      </c>
      <c r="S19" s="169">
        <f>F19/1500</f>
        <v>49.064570823066674</v>
      </c>
      <c r="T19" s="70"/>
      <c r="U19" s="70"/>
      <c r="V19" s="157"/>
      <c r="W19" s="157"/>
      <c r="X19" s="158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</row>
    <row r="20" spans="1:84" ht="20.149999999999999" customHeight="1">
      <c r="A20" s="25" t="s">
        <v>59</v>
      </c>
      <c r="B20" s="155" t="s">
        <v>88</v>
      </c>
      <c r="C20" s="25">
        <v>1</v>
      </c>
      <c r="D20" s="155" t="s">
        <v>66</v>
      </c>
      <c r="E20" s="155" t="s">
        <v>92</v>
      </c>
      <c r="F20" s="167">
        <f t="shared" si="7"/>
        <v>78220.60272509999</v>
      </c>
      <c r="G20" s="163">
        <v>32243.59</v>
      </c>
      <c r="H20" s="163">
        <v>2223.69</v>
      </c>
      <c r="I20" s="163">
        <v>11006.23</v>
      </c>
      <c r="J20" s="163">
        <v>7778</v>
      </c>
      <c r="K20" s="163">
        <f t="shared" si="0"/>
        <v>2872.2733333333331</v>
      </c>
      <c r="L20" s="163">
        <f t="shared" si="1"/>
        <v>917.18583333333333</v>
      </c>
      <c r="M20" s="163">
        <f t="shared" si="2"/>
        <v>57040.969166666662</v>
      </c>
      <c r="N20" s="163">
        <f t="shared" si="3"/>
        <v>4848.4823791666659</v>
      </c>
      <c r="O20" s="163">
        <f t="shared" si="4"/>
        <v>13803.914538333333</v>
      </c>
      <c r="P20" s="163"/>
      <c r="Q20" s="163">
        <f t="shared" si="5"/>
        <v>2527.2366409333331</v>
      </c>
      <c r="R20" s="163">
        <f t="shared" si="6"/>
        <v>16331.151179266666</v>
      </c>
      <c r="S20" s="169">
        <f t="shared" ref="S20:S31" si="10">F20/1500</f>
        <v>52.147068483399991</v>
      </c>
      <c r="V20" s="157"/>
      <c r="W20" s="157"/>
      <c r="X20" s="158"/>
    </row>
    <row r="21" spans="1:84" s="164" customFormat="1" ht="20.149999999999999" customHeight="1">
      <c r="A21" s="25" t="s">
        <v>59</v>
      </c>
      <c r="B21" s="155" t="s">
        <v>88</v>
      </c>
      <c r="C21" s="25">
        <v>2</v>
      </c>
      <c r="D21" s="155" t="s">
        <v>66</v>
      </c>
      <c r="E21" s="155" t="s">
        <v>94</v>
      </c>
      <c r="F21" s="167">
        <f t="shared" si="7"/>
        <v>85747.910769599999</v>
      </c>
      <c r="G21" s="163">
        <v>32243.59</v>
      </c>
      <c r="H21" s="163">
        <v>6671.1</v>
      </c>
      <c r="I21" s="163">
        <v>11006.23</v>
      </c>
      <c r="J21" s="163">
        <v>8426.17</v>
      </c>
      <c r="K21" s="163">
        <f t="shared" si="0"/>
        <v>3242.8908333333334</v>
      </c>
      <c r="L21" s="163">
        <f t="shared" si="1"/>
        <v>917.18583333333333</v>
      </c>
      <c r="M21" s="163">
        <f t="shared" si="2"/>
        <v>62507.166666666664</v>
      </c>
      <c r="N21" s="163">
        <f t="shared" si="3"/>
        <v>5313.1091666666662</v>
      </c>
      <c r="O21" s="163">
        <f t="shared" si="4"/>
        <v>15126.734333333332</v>
      </c>
      <c r="P21" s="163"/>
      <c r="Q21" s="163">
        <f t="shared" si="5"/>
        <v>2800.9006029333332</v>
      </c>
      <c r="R21" s="163">
        <f t="shared" si="6"/>
        <v>17927.634936266666</v>
      </c>
      <c r="S21" s="169">
        <f t="shared" si="10"/>
        <v>57.165273846399998</v>
      </c>
      <c r="T21" s="64"/>
      <c r="U21" s="64"/>
      <c r="V21" s="157"/>
      <c r="W21" s="157"/>
      <c r="X21" s="158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</row>
    <row r="22" spans="1:84" ht="20.149999999999999" customHeight="1">
      <c r="A22" s="25" t="s">
        <v>59</v>
      </c>
      <c r="B22" s="155" t="s">
        <v>88</v>
      </c>
      <c r="C22" s="25">
        <v>3</v>
      </c>
      <c r="D22" s="155" t="s">
        <v>66</v>
      </c>
      <c r="E22" s="155" t="s">
        <v>96</v>
      </c>
      <c r="F22" s="167">
        <f t="shared" si="7"/>
        <v>90801.668167766664</v>
      </c>
      <c r="G22" s="163">
        <v>32243.59</v>
      </c>
      <c r="H22" s="163">
        <v>8894.77</v>
      </c>
      <c r="I22" s="163">
        <v>11006.23</v>
      </c>
      <c r="J22" s="163">
        <v>9722.49</v>
      </c>
      <c r="K22" s="163">
        <f t="shared" si="0"/>
        <v>3428.1966666666667</v>
      </c>
      <c r="L22" s="163">
        <f t="shared" si="1"/>
        <v>917.18583333333333</v>
      </c>
      <c r="M22" s="163">
        <f t="shared" si="2"/>
        <v>66212.462499999994</v>
      </c>
      <c r="N22" s="163">
        <f t="shared" si="3"/>
        <v>5628.0593124999987</v>
      </c>
      <c r="O22" s="163">
        <f t="shared" si="4"/>
        <v>16023.415924999998</v>
      </c>
      <c r="P22" s="163"/>
      <c r="Q22" s="163">
        <f t="shared" si="5"/>
        <v>2937.7304302666671</v>
      </c>
      <c r="R22" s="163">
        <f t="shared" si="6"/>
        <v>18961.146355266665</v>
      </c>
      <c r="S22" s="169">
        <f t="shared" si="10"/>
        <v>60.534445445177774</v>
      </c>
      <c r="V22" s="157"/>
      <c r="W22" s="157"/>
      <c r="X22" s="158"/>
    </row>
    <row r="23" spans="1:84" s="164" customFormat="1" ht="20.149999999999999" customHeight="1">
      <c r="A23" s="25" t="s">
        <v>59</v>
      </c>
      <c r="B23" s="155" t="s">
        <v>88</v>
      </c>
      <c r="C23" s="25">
        <v>4</v>
      </c>
      <c r="D23" s="155" t="s">
        <v>66</v>
      </c>
      <c r="E23" s="155" t="s">
        <v>98</v>
      </c>
      <c r="F23" s="167">
        <f t="shared" si="7"/>
        <v>98202.237486766651</v>
      </c>
      <c r="G23" s="163">
        <v>32243.59</v>
      </c>
      <c r="H23" s="163">
        <v>13831.39</v>
      </c>
      <c r="I23" s="163">
        <v>11006.23</v>
      </c>
      <c r="J23" s="163">
        <v>9722.49</v>
      </c>
      <c r="K23" s="163">
        <f t="shared" si="0"/>
        <v>3839.5816666666665</v>
      </c>
      <c r="L23" s="163">
        <f t="shared" si="1"/>
        <v>917.18583333333333</v>
      </c>
      <c r="M23" s="163">
        <f t="shared" si="2"/>
        <v>71560.467499999999</v>
      </c>
      <c r="N23" s="163">
        <f t="shared" si="3"/>
        <v>6082.6397374999997</v>
      </c>
      <c r="O23" s="163">
        <f t="shared" si="4"/>
        <v>17317.633135</v>
      </c>
      <c r="P23" s="163"/>
      <c r="Q23" s="163">
        <f t="shared" si="5"/>
        <v>3241.4971142666664</v>
      </c>
      <c r="R23" s="163">
        <f t="shared" si="6"/>
        <v>20559.130249266665</v>
      </c>
      <c r="S23" s="169">
        <f t="shared" si="10"/>
        <v>65.468158324511094</v>
      </c>
      <c r="T23" s="64"/>
      <c r="U23" s="64"/>
      <c r="V23" s="157"/>
      <c r="W23" s="157"/>
      <c r="X23" s="158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</row>
    <row r="24" spans="1:84" ht="20.149999999999999" customHeight="1">
      <c r="A24" s="25" t="s">
        <v>59</v>
      </c>
      <c r="B24" s="155" t="s">
        <v>88</v>
      </c>
      <c r="C24" s="25">
        <v>5</v>
      </c>
      <c r="D24" s="155" t="s">
        <v>66</v>
      </c>
      <c r="E24" s="155" t="s">
        <v>100</v>
      </c>
      <c r="F24" s="167">
        <f t="shared" si="7"/>
        <v>101902.5071551</v>
      </c>
      <c r="G24" s="163">
        <v>32243.59</v>
      </c>
      <c r="H24" s="163">
        <v>16299.69</v>
      </c>
      <c r="I24" s="163">
        <v>11006.23</v>
      </c>
      <c r="J24" s="163">
        <v>9722.49</v>
      </c>
      <c r="K24" s="163">
        <f t="shared" si="0"/>
        <v>4045.2733333333331</v>
      </c>
      <c r="L24" s="163">
        <f t="shared" si="1"/>
        <v>917.18583333333333</v>
      </c>
      <c r="M24" s="163">
        <f t="shared" si="2"/>
        <v>74234.459166666667</v>
      </c>
      <c r="N24" s="163">
        <f t="shared" si="3"/>
        <v>6309.9290291666666</v>
      </c>
      <c r="O24" s="163">
        <f t="shared" si="4"/>
        <v>17964.739118333335</v>
      </c>
      <c r="P24" s="163"/>
      <c r="Q24" s="163">
        <f t="shared" si="5"/>
        <v>3393.3798409333331</v>
      </c>
      <c r="R24" s="163">
        <f t="shared" si="6"/>
        <v>21358.118959266667</v>
      </c>
      <c r="S24" s="169">
        <f t="shared" si="10"/>
        <v>67.935004770066669</v>
      </c>
      <c r="V24" s="157"/>
      <c r="W24" s="157"/>
      <c r="X24" s="158"/>
    </row>
    <row r="25" spans="1:84" s="164" customFormat="1" ht="20.149999999999999" customHeight="1">
      <c r="A25" s="25" t="s">
        <v>59</v>
      </c>
      <c r="B25" s="155" t="s">
        <v>88</v>
      </c>
      <c r="C25" s="25">
        <v>6</v>
      </c>
      <c r="D25" s="155" t="s">
        <v>66</v>
      </c>
      <c r="E25" s="155" t="s">
        <v>102</v>
      </c>
      <c r="F25" s="167">
        <f t="shared" si="7"/>
        <v>109303.0315006</v>
      </c>
      <c r="G25" s="163">
        <v>32243.59</v>
      </c>
      <c r="H25" s="163">
        <v>21236.28</v>
      </c>
      <c r="I25" s="163">
        <v>11006.23</v>
      </c>
      <c r="J25" s="163">
        <v>9722.49</v>
      </c>
      <c r="K25" s="163">
        <f t="shared" si="0"/>
        <v>4456.6558333333332</v>
      </c>
      <c r="L25" s="163">
        <f t="shared" si="1"/>
        <v>917.18583333333333</v>
      </c>
      <c r="M25" s="163">
        <f t="shared" si="2"/>
        <v>79582.431666666671</v>
      </c>
      <c r="N25" s="163">
        <f t="shared" si="3"/>
        <v>6764.5066916666665</v>
      </c>
      <c r="O25" s="163">
        <f t="shared" si="4"/>
        <v>19258.948463333334</v>
      </c>
      <c r="P25" s="163"/>
      <c r="Q25" s="163">
        <f t="shared" si="5"/>
        <v>3697.1446789333327</v>
      </c>
      <c r="R25" s="163">
        <f t="shared" si="6"/>
        <v>22956.093142266665</v>
      </c>
      <c r="S25" s="169">
        <f t="shared" si="10"/>
        <v>72.868687667066666</v>
      </c>
      <c r="T25" s="64"/>
      <c r="U25" s="64"/>
      <c r="V25" s="157"/>
      <c r="W25" s="157"/>
      <c r="X25" s="158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</row>
    <row r="26" spans="1:84" ht="20.149999999999999" customHeight="1">
      <c r="A26" s="25" t="s">
        <v>59</v>
      </c>
      <c r="B26" s="155" t="s">
        <v>88</v>
      </c>
      <c r="C26" s="25">
        <v>7</v>
      </c>
      <c r="D26" s="155" t="s">
        <v>66</v>
      </c>
      <c r="E26" s="155" t="s">
        <v>104</v>
      </c>
      <c r="F26" s="167">
        <f t="shared" si="7"/>
        <v>113003.30116893334</v>
      </c>
      <c r="G26" s="163">
        <v>32243.59</v>
      </c>
      <c r="H26" s="163">
        <v>23704.58</v>
      </c>
      <c r="I26" s="163">
        <v>11006.23</v>
      </c>
      <c r="J26" s="163">
        <v>9722.49</v>
      </c>
      <c r="K26" s="163">
        <f t="shared" si="0"/>
        <v>4662.3474999999999</v>
      </c>
      <c r="L26" s="163">
        <f t="shared" si="1"/>
        <v>917.18583333333333</v>
      </c>
      <c r="M26" s="163">
        <f t="shared" si="2"/>
        <v>82256.42333333334</v>
      </c>
      <c r="N26" s="163">
        <f t="shared" si="3"/>
        <v>6991.7959833333334</v>
      </c>
      <c r="O26" s="163">
        <f t="shared" si="4"/>
        <v>19906.054446666665</v>
      </c>
      <c r="P26" s="163"/>
      <c r="Q26" s="163">
        <f t="shared" si="5"/>
        <v>3849.0274055999998</v>
      </c>
      <c r="R26" s="163">
        <f t="shared" si="6"/>
        <v>23755.081852266667</v>
      </c>
      <c r="S26" s="169">
        <f t="shared" si="10"/>
        <v>75.335534112622227</v>
      </c>
      <c r="V26" s="157"/>
      <c r="W26" s="157"/>
      <c r="X26" s="158"/>
    </row>
    <row r="27" spans="1:84" s="164" customFormat="1" ht="20.149999999999999" customHeight="1">
      <c r="A27" s="25" t="s">
        <v>59</v>
      </c>
      <c r="B27" s="155" t="s">
        <v>88</v>
      </c>
      <c r="C27" s="25">
        <v>8</v>
      </c>
      <c r="D27" s="155" t="s">
        <v>66</v>
      </c>
      <c r="E27" s="155" t="s">
        <v>106</v>
      </c>
      <c r="F27" s="167">
        <f t="shared" si="7"/>
        <v>120403.88547910002</v>
      </c>
      <c r="G27" s="163">
        <v>32243.59</v>
      </c>
      <c r="H27" s="163">
        <v>28641.21</v>
      </c>
      <c r="I27" s="163">
        <v>11006.23</v>
      </c>
      <c r="J27" s="163">
        <v>9722.49</v>
      </c>
      <c r="K27" s="163">
        <f t="shared" si="0"/>
        <v>5073.7333333333336</v>
      </c>
      <c r="L27" s="163">
        <f t="shared" si="1"/>
        <v>917.18583333333333</v>
      </c>
      <c r="M27" s="163">
        <f t="shared" si="2"/>
        <v>87604.439166666678</v>
      </c>
      <c r="N27" s="163">
        <f t="shared" si="3"/>
        <v>7446.3773291666676</v>
      </c>
      <c r="O27" s="163">
        <f t="shared" si="4"/>
        <v>21200.274278333338</v>
      </c>
      <c r="P27" s="163"/>
      <c r="Q27" s="163">
        <f t="shared" si="5"/>
        <v>4152.7947049333334</v>
      </c>
      <c r="R27" s="163">
        <f t="shared" si="6"/>
        <v>25353.068983266672</v>
      </c>
      <c r="S27" s="169">
        <f t="shared" si="10"/>
        <v>80.269256986066679</v>
      </c>
      <c r="T27" s="64"/>
      <c r="U27" s="64"/>
      <c r="V27" s="157"/>
      <c r="W27" s="157"/>
      <c r="X27" s="158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</row>
    <row r="28" spans="1:84" ht="20.149999999999999" customHeight="1">
      <c r="A28" s="25" t="s">
        <v>59</v>
      </c>
      <c r="B28" s="155" t="s">
        <v>88</v>
      </c>
      <c r="C28" s="25">
        <v>9</v>
      </c>
      <c r="D28" s="155" t="s">
        <v>66</v>
      </c>
      <c r="E28" s="155" t="s">
        <v>108</v>
      </c>
      <c r="F28" s="167">
        <f t="shared" si="7"/>
        <v>122685.70594860002</v>
      </c>
      <c r="G28" s="163">
        <v>32243.59</v>
      </c>
      <c r="H28" s="163">
        <v>30163.32</v>
      </c>
      <c r="I28" s="163">
        <v>11006.23</v>
      </c>
      <c r="J28" s="163">
        <v>9722.49</v>
      </c>
      <c r="K28" s="163">
        <f t="shared" si="0"/>
        <v>5200.5758333333333</v>
      </c>
      <c r="L28" s="163">
        <f t="shared" si="1"/>
        <v>917.18583333333333</v>
      </c>
      <c r="M28" s="163">
        <f t="shared" si="2"/>
        <v>89253.391666666677</v>
      </c>
      <c r="N28" s="163">
        <f t="shared" si="3"/>
        <v>7586.5382916666676</v>
      </c>
      <c r="O28" s="163">
        <f t="shared" si="4"/>
        <v>21599.320783333336</v>
      </c>
      <c r="P28" s="163"/>
      <c r="Q28" s="163">
        <f t="shared" si="5"/>
        <v>4246.4552069333331</v>
      </c>
      <c r="R28" s="163">
        <f t="shared" si="6"/>
        <v>25845.775990266669</v>
      </c>
      <c r="S28" s="169">
        <f t="shared" si="10"/>
        <v>81.790470632400016</v>
      </c>
      <c r="V28" s="157"/>
      <c r="W28" s="157"/>
      <c r="X28" s="158"/>
    </row>
    <row r="29" spans="1:84" s="164" customFormat="1" ht="20.149999999999999" customHeight="1">
      <c r="A29" s="25" t="s">
        <v>59</v>
      </c>
      <c r="B29" s="155" t="s">
        <v>88</v>
      </c>
      <c r="C29" s="25">
        <v>10</v>
      </c>
      <c r="D29" s="155" t="s">
        <v>66</v>
      </c>
      <c r="E29" s="155" t="s">
        <v>110</v>
      </c>
      <c r="F29" s="167">
        <f t="shared" si="7"/>
        <v>127249.36187876668</v>
      </c>
      <c r="G29" s="163">
        <v>32243.59</v>
      </c>
      <c r="H29" s="163">
        <v>33207.550000000003</v>
      </c>
      <c r="I29" s="163">
        <v>11006.23</v>
      </c>
      <c r="J29" s="163">
        <v>9722.49</v>
      </c>
      <c r="K29" s="163">
        <f t="shared" si="0"/>
        <v>5454.2616666666663</v>
      </c>
      <c r="L29" s="163">
        <f t="shared" si="1"/>
        <v>917.18583333333333</v>
      </c>
      <c r="M29" s="163">
        <f t="shared" si="2"/>
        <v>92551.30750000001</v>
      </c>
      <c r="N29" s="163">
        <f t="shared" si="3"/>
        <v>7866.861137500001</v>
      </c>
      <c r="O29" s="163">
        <f t="shared" si="4"/>
        <v>22397.416415000003</v>
      </c>
      <c r="P29" s="163"/>
      <c r="Q29" s="163">
        <f t="shared" si="5"/>
        <v>4433.7768262666668</v>
      </c>
      <c r="R29" s="163">
        <f t="shared" si="6"/>
        <v>26831.193241266672</v>
      </c>
      <c r="S29" s="169">
        <f t="shared" si="10"/>
        <v>84.832907919177785</v>
      </c>
      <c r="T29" s="64"/>
      <c r="U29" s="64"/>
      <c r="V29" s="157"/>
      <c r="W29" s="157"/>
      <c r="X29" s="158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</row>
    <row r="30" spans="1:84" ht="20.149999999999999" customHeight="1">
      <c r="A30" s="25" t="s">
        <v>59</v>
      </c>
      <c r="B30" s="155" t="s">
        <v>88</v>
      </c>
      <c r="C30" s="25">
        <v>11</v>
      </c>
      <c r="D30" s="155" t="s">
        <v>66</v>
      </c>
      <c r="E30" s="155" t="s">
        <v>112</v>
      </c>
      <c r="F30" s="167">
        <f t="shared" si="7"/>
        <v>129531.19733943333</v>
      </c>
      <c r="G30" s="163">
        <v>32243.59</v>
      </c>
      <c r="H30" s="163">
        <v>34729.67</v>
      </c>
      <c r="I30" s="163">
        <v>11006.23</v>
      </c>
      <c r="J30" s="163">
        <v>9722.49</v>
      </c>
      <c r="K30" s="163">
        <f t="shared" si="0"/>
        <v>5581.1049999999996</v>
      </c>
      <c r="L30" s="163">
        <f t="shared" si="1"/>
        <v>917.18583333333333</v>
      </c>
      <c r="M30" s="163">
        <f t="shared" si="2"/>
        <v>94200.270833333328</v>
      </c>
      <c r="N30" s="163">
        <f t="shared" si="3"/>
        <v>8007.0230208333323</v>
      </c>
      <c r="O30" s="163">
        <f t="shared" si="4"/>
        <v>22796.465541666668</v>
      </c>
      <c r="P30" s="163"/>
      <c r="Q30" s="163">
        <f t="shared" si="5"/>
        <v>4527.437943599999</v>
      </c>
      <c r="R30" s="163">
        <f t="shared" si="6"/>
        <v>27323.903485266666</v>
      </c>
      <c r="S30" s="169">
        <f t="shared" si="10"/>
        <v>86.354131559622218</v>
      </c>
      <c r="V30" s="157"/>
      <c r="W30" s="157"/>
      <c r="X30" s="158"/>
    </row>
    <row r="31" spans="1:84" s="164" customFormat="1" ht="21.75" customHeight="1">
      <c r="A31" s="25" t="s">
        <v>59</v>
      </c>
      <c r="B31" s="155" t="s">
        <v>88</v>
      </c>
      <c r="C31" s="25">
        <v>12</v>
      </c>
      <c r="D31" s="155" t="s">
        <v>66</v>
      </c>
      <c r="E31" s="155" t="s">
        <v>114</v>
      </c>
      <c r="F31" s="167">
        <f t="shared" si="7"/>
        <v>134094.86826076667</v>
      </c>
      <c r="G31" s="163">
        <v>32243.59</v>
      </c>
      <c r="H31" s="163">
        <v>37773.910000000003</v>
      </c>
      <c r="I31" s="163">
        <v>11006.23</v>
      </c>
      <c r="J31" s="163">
        <v>9722.49</v>
      </c>
      <c r="K31" s="163">
        <f t="shared" si="0"/>
        <v>5834.791666666667</v>
      </c>
      <c r="L31" s="163">
        <f t="shared" si="1"/>
        <v>917.18583333333333</v>
      </c>
      <c r="M31" s="163">
        <f t="shared" si="2"/>
        <v>97498.197500000009</v>
      </c>
      <c r="N31" s="163">
        <f t="shared" si="3"/>
        <v>8287.3467875000006</v>
      </c>
      <c r="O31" s="163">
        <f t="shared" si="4"/>
        <v>23594.563795000002</v>
      </c>
      <c r="P31" s="163"/>
      <c r="Q31" s="163">
        <f t="shared" si="5"/>
        <v>4714.7601782666661</v>
      </c>
      <c r="R31" s="163">
        <f t="shared" si="6"/>
        <v>28309.32397326667</v>
      </c>
      <c r="S31" s="169">
        <f t="shared" si="10"/>
        <v>89.396578840511111</v>
      </c>
      <c r="T31" s="64"/>
      <c r="U31" s="64"/>
      <c r="V31" s="157"/>
      <c r="W31" s="157"/>
      <c r="X31" s="158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</row>
    <row r="32" spans="1:84" hidden="1">
      <c r="A32" s="25"/>
      <c r="B32" s="155"/>
      <c r="C32" s="25"/>
      <c r="D32" s="155"/>
      <c r="E32" s="155"/>
      <c r="F32" s="167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69"/>
      <c r="V32" s="157"/>
      <c r="W32" s="157"/>
      <c r="X32" s="158"/>
    </row>
    <row r="33" spans="1:84" ht="20.149999999999999" customHeight="1">
      <c r="A33" s="160"/>
      <c r="B33" s="161"/>
      <c r="C33" s="160"/>
      <c r="D33" s="161"/>
      <c r="E33" s="161"/>
      <c r="F33" s="168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70"/>
      <c r="V33" s="157"/>
      <c r="W33" s="157"/>
      <c r="X33" s="158"/>
    </row>
    <row r="34" spans="1:84" ht="20.149999999999999" customHeight="1">
      <c r="A34" s="25" t="s">
        <v>58</v>
      </c>
      <c r="B34" s="155" t="s">
        <v>86</v>
      </c>
      <c r="C34" s="25">
        <v>0</v>
      </c>
      <c r="D34" s="155" t="s">
        <v>65</v>
      </c>
      <c r="E34" s="155" t="s">
        <v>67</v>
      </c>
      <c r="F34" s="167">
        <f t="shared" ref="F34:F58" si="11">M34+N34+R34</f>
        <v>70488.8680016</v>
      </c>
      <c r="G34" s="156">
        <v>35137.19</v>
      </c>
      <c r="H34" s="156">
        <v>0</v>
      </c>
      <c r="I34" s="156">
        <v>11043.41</v>
      </c>
      <c r="J34" s="156"/>
      <c r="K34" s="156">
        <f t="shared" ref="K34:K58" si="12">(G34+H34)/12</f>
        <v>2928.0991666666669</v>
      </c>
      <c r="L34" s="156">
        <f t="shared" ref="L34:L58" si="13">I34/12</f>
        <v>920.28416666666669</v>
      </c>
      <c r="M34" s="156">
        <f t="shared" ref="M34:M58" si="14">SUM(G34:L34)</f>
        <v>50028.983333333337</v>
      </c>
      <c r="N34" s="156">
        <f t="shared" ref="N34:N58" si="15">M34*8.5/100</f>
        <v>4252.4635833333341</v>
      </c>
      <c r="O34" s="156">
        <f t="shared" ref="O34:O58" si="16">M34*24.2/100</f>
        <v>12107.013966666667</v>
      </c>
      <c r="P34" s="156">
        <f t="shared" ref="P34:P45" si="17">(G34+H34)*18%*24.2%</f>
        <v>1530.5759963999999</v>
      </c>
      <c r="Q34" s="156">
        <f t="shared" ref="Q34:Q58" si="18">(G34+H34+K34)*80%*7.1%+(I34+L34)*80%*60%*7.1%</f>
        <v>2569.8311218666668</v>
      </c>
      <c r="R34" s="156">
        <f t="shared" ref="R34:R58" si="19">O34+P34+Q34</f>
        <v>16207.421084933336</v>
      </c>
      <c r="S34" s="169">
        <f>F34/750</f>
        <v>93.985157335466667</v>
      </c>
      <c r="V34" s="157"/>
      <c r="W34" s="157"/>
      <c r="X34" s="158"/>
    </row>
    <row r="35" spans="1:84" s="164" customFormat="1" ht="20.149999999999999" customHeight="1">
      <c r="A35" s="25" t="s">
        <v>58</v>
      </c>
      <c r="B35" s="155" t="s">
        <v>86</v>
      </c>
      <c r="C35" s="25">
        <v>1</v>
      </c>
      <c r="D35" s="155" t="s">
        <v>65</v>
      </c>
      <c r="E35" s="155" t="s">
        <v>69</v>
      </c>
      <c r="F35" s="167">
        <f t="shared" si="11"/>
        <v>77483.055472933338</v>
      </c>
      <c r="G35" s="156">
        <v>35137.19</v>
      </c>
      <c r="H35" s="156">
        <v>4533.8</v>
      </c>
      <c r="I35" s="156">
        <v>11043.41</v>
      </c>
      <c r="J35" s="156"/>
      <c r="K35" s="156">
        <f t="shared" si="12"/>
        <v>3305.9158333333339</v>
      </c>
      <c r="L35" s="156">
        <f t="shared" si="13"/>
        <v>920.28416666666669</v>
      </c>
      <c r="M35" s="156">
        <f t="shared" si="14"/>
        <v>54940.600000000006</v>
      </c>
      <c r="N35" s="156">
        <f t="shared" si="15"/>
        <v>4669.951</v>
      </c>
      <c r="O35" s="156">
        <f t="shared" si="16"/>
        <v>13295.6252</v>
      </c>
      <c r="P35" s="156">
        <f t="shared" si="17"/>
        <v>1728.0683244000002</v>
      </c>
      <c r="Q35" s="156">
        <f t="shared" si="18"/>
        <v>2848.8109485333334</v>
      </c>
      <c r="R35" s="156">
        <f t="shared" si="19"/>
        <v>17872.504472933335</v>
      </c>
      <c r="S35" s="169">
        <f t="shared" ref="S35:S45" si="20">F35/750</f>
        <v>103.31074063057778</v>
      </c>
      <c r="T35" s="64"/>
      <c r="U35" s="64"/>
      <c r="V35" s="157"/>
      <c r="W35" s="157"/>
      <c r="X35" s="158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</row>
    <row r="36" spans="1:84" ht="20.149999999999999" customHeight="1">
      <c r="A36" s="25" t="s">
        <v>58</v>
      </c>
      <c r="B36" s="155" t="s">
        <v>86</v>
      </c>
      <c r="C36" s="25">
        <v>2</v>
      </c>
      <c r="D36" s="155" t="s">
        <v>65</v>
      </c>
      <c r="E36" s="155" t="s">
        <v>71</v>
      </c>
      <c r="F36" s="167">
        <f t="shared" si="11"/>
        <v>80980.210915666656</v>
      </c>
      <c r="G36" s="156">
        <v>35137.19</v>
      </c>
      <c r="H36" s="156">
        <v>6800.74</v>
      </c>
      <c r="I36" s="156">
        <v>11043.41</v>
      </c>
      <c r="J36" s="156"/>
      <c r="K36" s="156">
        <f t="shared" si="12"/>
        <v>3494.8274999999999</v>
      </c>
      <c r="L36" s="156">
        <f t="shared" si="13"/>
        <v>920.28416666666669</v>
      </c>
      <c r="M36" s="156">
        <f t="shared" si="14"/>
        <v>57396.45166666666</v>
      </c>
      <c r="N36" s="156">
        <f t="shared" si="15"/>
        <v>4878.6983916666659</v>
      </c>
      <c r="O36" s="156">
        <f t="shared" si="16"/>
        <v>13889.941303333331</v>
      </c>
      <c r="P36" s="156">
        <f t="shared" si="17"/>
        <v>1826.8162308000001</v>
      </c>
      <c r="Q36" s="156">
        <f t="shared" si="18"/>
        <v>2988.3033231999993</v>
      </c>
      <c r="R36" s="156">
        <f t="shared" si="19"/>
        <v>18705.06085733333</v>
      </c>
      <c r="S36" s="169">
        <f t="shared" si="20"/>
        <v>107.97361455422221</v>
      </c>
      <c r="V36" s="157"/>
      <c r="W36" s="157"/>
      <c r="X36" s="158"/>
    </row>
    <row r="37" spans="1:84" s="164" customFormat="1" ht="20.149999999999999" customHeight="1">
      <c r="A37" s="25" t="s">
        <v>58</v>
      </c>
      <c r="B37" s="155" t="s">
        <v>86</v>
      </c>
      <c r="C37" s="25">
        <v>3</v>
      </c>
      <c r="D37" s="155" t="s">
        <v>65</v>
      </c>
      <c r="E37" s="155" t="s">
        <v>73</v>
      </c>
      <c r="F37" s="167">
        <f t="shared" si="11"/>
        <v>84215.034191233324</v>
      </c>
      <c r="G37" s="156">
        <v>35137.19</v>
      </c>
      <c r="H37" s="156">
        <v>8897.6299999999992</v>
      </c>
      <c r="I37" s="156">
        <v>11043.41</v>
      </c>
      <c r="J37" s="156"/>
      <c r="K37" s="156">
        <f t="shared" si="12"/>
        <v>3669.5683333333332</v>
      </c>
      <c r="L37" s="156">
        <f t="shared" si="13"/>
        <v>920.28416666666669</v>
      </c>
      <c r="M37" s="156">
        <f t="shared" si="14"/>
        <v>59668.082499999997</v>
      </c>
      <c r="N37" s="156">
        <f t="shared" si="15"/>
        <v>5071.7870124999999</v>
      </c>
      <c r="O37" s="156">
        <f t="shared" si="16"/>
        <v>14439.675965</v>
      </c>
      <c r="P37" s="156">
        <f t="shared" si="17"/>
        <v>1918.1567591999997</v>
      </c>
      <c r="Q37" s="156">
        <f t="shared" si="18"/>
        <v>3117.3319545333329</v>
      </c>
      <c r="R37" s="156">
        <f t="shared" si="19"/>
        <v>19475.164678733334</v>
      </c>
      <c r="S37" s="169">
        <f t="shared" si="20"/>
        <v>112.28671225497777</v>
      </c>
      <c r="T37" s="64"/>
      <c r="U37" s="64"/>
      <c r="V37" s="157"/>
      <c r="W37" s="157"/>
      <c r="X37" s="158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</row>
    <row r="38" spans="1:84" ht="20.149999999999999" customHeight="1">
      <c r="A38" s="25" t="s">
        <v>58</v>
      </c>
      <c r="B38" s="155" t="s">
        <v>86</v>
      </c>
      <c r="C38" s="25">
        <v>4</v>
      </c>
      <c r="D38" s="155" t="s">
        <v>65</v>
      </c>
      <c r="E38" s="155" t="s">
        <v>75</v>
      </c>
      <c r="F38" s="167">
        <f>M38+N38+R38</f>
        <v>85832.438115633326</v>
      </c>
      <c r="G38" s="156">
        <v>35137.19</v>
      </c>
      <c r="H38" s="156">
        <v>9946.07</v>
      </c>
      <c r="I38" s="156">
        <v>11043.41</v>
      </c>
      <c r="J38" s="156"/>
      <c r="K38" s="156">
        <f t="shared" si="12"/>
        <v>3756.9383333333335</v>
      </c>
      <c r="L38" s="156">
        <f t="shared" si="13"/>
        <v>920.28416666666669</v>
      </c>
      <c r="M38" s="156">
        <f t="shared" si="14"/>
        <v>60803.892499999994</v>
      </c>
      <c r="N38" s="156">
        <f t="shared" si="15"/>
        <v>5168.3308624999991</v>
      </c>
      <c r="O38" s="156">
        <f t="shared" si="16"/>
        <v>14714.541984999996</v>
      </c>
      <c r="P38" s="156">
        <f t="shared" si="17"/>
        <v>1963.8268055999999</v>
      </c>
      <c r="Q38" s="156">
        <f t="shared" si="18"/>
        <v>3181.845962533333</v>
      </c>
      <c r="R38" s="156">
        <f t="shared" si="19"/>
        <v>19860.214753133332</v>
      </c>
      <c r="S38" s="169">
        <f t="shared" si="20"/>
        <v>114.44325082084444</v>
      </c>
      <c r="V38" s="157"/>
      <c r="W38" s="157"/>
      <c r="X38" s="158"/>
    </row>
    <row r="39" spans="1:84" s="164" customFormat="1" ht="20.149999999999999" customHeight="1">
      <c r="A39" s="25" t="s">
        <v>58</v>
      </c>
      <c r="B39" s="155" t="s">
        <v>86</v>
      </c>
      <c r="C39" s="25">
        <v>5</v>
      </c>
      <c r="D39" s="155" t="s">
        <v>65</v>
      </c>
      <c r="E39" s="155" t="s">
        <v>77</v>
      </c>
      <c r="F39" s="167">
        <f t="shared" si="11"/>
        <v>89067.245964433328</v>
      </c>
      <c r="G39" s="156">
        <v>35137.19</v>
      </c>
      <c r="H39" s="156">
        <v>12042.95</v>
      </c>
      <c r="I39" s="156">
        <v>11043.41</v>
      </c>
      <c r="J39" s="156"/>
      <c r="K39" s="156">
        <f t="shared" si="12"/>
        <v>3931.6783333333333</v>
      </c>
      <c r="L39" s="156">
        <f t="shared" si="13"/>
        <v>920.28416666666669</v>
      </c>
      <c r="M39" s="156">
        <f t="shared" si="14"/>
        <v>63075.512499999997</v>
      </c>
      <c r="N39" s="156">
        <f t="shared" si="15"/>
        <v>5361.4185624999991</v>
      </c>
      <c r="O39" s="156">
        <f t="shared" si="16"/>
        <v>15264.274024999999</v>
      </c>
      <c r="P39" s="156">
        <f t="shared" si="17"/>
        <v>2055.1668983999998</v>
      </c>
      <c r="Q39" s="156">
        <f t="shared" si="18"/>
        <v>3310.8739785333328</v>
      </c>
      <c r="R39" s="156">
        <f t="shared" si="19"/>
        <v>20630.314901933329</v>
      </c>
      <c r="S39" s="169">
        <f t="shared" si="20"/>
        <v>118.75632795257778</v>
      </c>
      <c r="T39" s="64"/>
      <c r="U39" s="64"/>
      <c r="V39" s="157"/>
      <c r="W39" s="157"/>
      <c r="X39" s="158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</row>
    <row r="40" spans="1:84" ht="20.149999999999999" customHeight="1">
      <c r="A40" s="25" t="s">
        <v>58</v>
      </c>
      <c r="B40" s="155" t="s">
        <v>86</v>
      </c>
      <c r="C40" s="25">
        <v>6</v>
      </c>
      <c r="D40" s="155" t="s">
        <v>65</v>
      </c>
      <c r="E40" s="155" t="s">
        <v>79</v>
      </c>
      <c r="F40" s="167">
        <f t="shared" si="11"/>
        <v>90684.649888833344</v>
      </c>
      <c r="G40" s="156">
        <v>35137.19</v>
      </c>
      <c r="H40" s="156">
        <v>13091.39</v>
      </c>
      <c r="I40" s="156">
        <v>11043.41</v>
      </c>
      <c r="J40" s="156"/>
      <c r="K40" s="156">
        <f t="shared" si="12"/>
        <v>4019.0483333333336</v>
      </c>
      <c r="L40" s="156">
        <f t="shared" si="13"/>
        <v>920.28416666666669</v>
      </c>
      <c r="M40" s="156">
        <f t="shared" si="14"/>
        <v>64211.322500000002</v>
      </c>
      <c r="N40" s="156">
        <f t="shared" si="15"/>
        <v>5457.9624125</v>
      </c>
      <c r="O40" s="156">
        <f t="shared" si="16"/>
        <v>15539.140045</v>
      </c>
      <c r="P40" s="156">
        <f t="shared" si="17"/>
        <v>2100.8369447999999</v>
      </c>
      <c r="Q40" s="156">
        <f t="shared" si="18"/>
        <v>3375.3879865333333</v>
      </c>
      <c r="R40" s="156">
        <f t="shared" si="19"/>
        <v>21015.364976333334</v>
      </c>
      <c r="S40" s="169">
        <f t="shared" si="20"/>
        <v>120.91286651844446</v>
      </c>
      <c r="V40" s="157"/>
      <c r="W40" s="157"/>
      <c r="X40" s="158"/>
    </row>
    <row r="41" spans="1:84" s="164" customFormat="1" ht="20.149999999999999" customHeight="1">
      <c r="A41" s="25" t="s">
        <v>58</v>
      </c>
      <c r="B41" s="155" t="s">
        <v>86</v>
      </c>
      <c r="C41" s="25">
        <v>7</v>
      </c>
      <c r="D41" s="155" t="s">
        <v>65</v>
      </c>
      <c r="E41" s="155" t="s">
        <v>115</v>
      </c>
      <c r="F41" s="167">
        <f t="shared" si="11"/>
        <v>93919.457737633333</v>
      </c>
      <c r="G41" s="156">
        <v>35137.19</v>
      </c>
      <c r="H41" s="156">
        <v>15188.27</v>
      </c>
      <c r="I41" s="156">
        <v>11043.41</v>
      </c>
      <c r="J41" s="156"/>
      <c r="K41" s="156">
        <f t="shared" si="12"/>
        <v>4193.7883333333339</v>
      </c>
      <c r="L41" s="156">
        <f t="shared" si="13"/>
        <v>920.28416666666669</v>
      </c>
      <c r="M41" s="156">
        <f t="shared" si="14"/>
        <v>66482.942500000005</v>
      </c>
      <c r="N41" s="156">
        <f t="shared" si="15"/>
        <v>5651.0501125000001</v>
      </c>
      <c r="O41" s="156">
        <f t="shared" si="16"/>
        <v>16088.872084999999</v>
      </c>
      <c r="P41" s="156">
        <f t="shared" si="17"/>
        <v>2192.1770375999999</v>
      </c>
      <c r="Q41" s="156">
        <f t="shared" si="18"/>
        <v>3504.4160025333335</v>
      </c>
      <c r="R41" s="156">
        <f t="shared" si="19"/>
        <v>21785.465125133331</v>
      </c>
      <c r="S41" s="169">
        <f t="shared" si="20"/>
        <v>125.22594365017778</v>
      </c>
      <c r="T41" s="64"/>
      <c r="U41" s="64"/>
      <c r="V41" s="157"/>
      <c r="W41" s="157"/>
      <c r="X41" s="158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</row>
    <row r="42" spans="1:84" ht="20.149999999999999" customHeight="1">
      <c r="A42" s="25" t="s">
        <v>58</v>
      </c>
      <c r="B42" s="155" t="s">
        <v>86</v>
      </c>
      <c r="C42" s="25">
        <v>8</v>
      </c>
      <c r="D42" s="155" t="s">
        <v>65</v>
      </c>
      <c r="E42" s="155" t="s">
        <v>116</v>
      </c>
      <c r="F42" s="167">
        <f t="shared" si="11"/>
        <v>95536.877088800014</v>
      </c>
      <c r="G42" s="156">
        <v>35137.19</v>
      </c>
      <c r="H42" s="156">
        <v>16236.72</v>
      </c>
      <c r="I42" s="156">
        <v>11043.41</v>
      </c>
      <c r="J42" s="156"/>
      <c r="K42" s="156">
        <f t="shared" si="12"/>
        <v>4281.1591666666673</v>
      </c>
      <c r="L42" s="156">
        <f t="shared" si="13"/>
        <v>920.28416666666669</v>
      </c>
      <c r="M42" s="156">
        <f t="shared" si="14"/>
        <v>67618.763333333336</v>
      </c>
      <c r="N42" s="156">
        <f t="shared" si="15"/>
        <v>5747.5948833333341</v>
      </c>
      <c r="O42" s="156">
        <f t="shared" si="16"/>
        <v>16363.740726666667</v>
      </c>
      <c r="P42" s="156">
        <f t="shared" si="17"/>
        <v>2237.8475195999999</v>
      </c>
      <c r="Q42" s="156">
        <f t="shared" si="18"/>
        <v>3568.9306258666666</v>
      </c>
      <c r="R42" s="156">
        <f t="shared" si="19"/>
        <v>22170.518872133332</v>
      </c>
      <c r="S42" s="169">
        <f t="shared" si="20"/>
        <v>127.38250278506669</v>
      </c>
      <c r="V42" s="157"/>
      <c r="W42" s="157"/>
      <c r="X42" s="158"/>
    </row>
    <row r="43" spans="1:84" s="164" customFormat="1" ht="20.149999999999999" customHeight="1">
      <c r="A43" s="25" t="s">
        <v>58</v>
      </c>
      <c r="B43" s="155" t="s">
        <v>86</v>
      </c>
      <c r="C43" s="25">
        <v>9</v>
      </c>
      <c r="D43" s="155" t="s">
        <v>65</v>
      </c>
      <c r="E43" s="155" t="s">
        <v>117</v>
      </c>
      <c r="F43" s="167">
        <f t="shared" si="11"/>
        <v>98771.669510833337</v>
      </c>
      <c r="G43" s="156">
        <v>35137.19</v>
      </c>
      <c r="H43" s="156">
        <v>18333.59</v>
      </c>
      <c r="I43" s="156">
        <v>11043.41</v>
      </c>
      <c r="J43" s="156"/>
      <c r="K43" s="156">
        <f t="shared" si="12"/>
        <v>4455.8983333333335</v>
      </c>
      <c r="L43" s="156">
        <f t="shared" si="13"/>
        <v>920.28416666666669</v>
      </c>
      <c r="M43" s="156">
        <f t="shared" si="14"/>
        <v>69890.372499999998</v>
      </c>
      <c r="N43" s="156">
        <f t="shared" si="15"/>
        <v>5940.6816625000001</v>
      </c>
      <c r="O43" s="156">
        <f t="shared" si="16"/>
        <v>16913.470144999999</v>
      </c>
      <c r="P43" s="156">
        <f t="shared" si="17"/>
        <v>2329.1871767999996</v>
      </c>
      <c r="Q43" s="156">
        <f t="shared" si="18"/>
        <v>3697.9580265333325</v>
      </c>
      <c r="R43" s="156">
        <f t="shared" si="19"/>
        <v>22940.615348333329</v>
      </c>
      <c r="S43" s="169">
        <f t="shared" si="20"/>
        <v>131.69555934777779</v>
      </c>
      <c r="T43" s="64"/>
      <c r="U43" s="64"/>
      <c r="V43" s="157"/>
      <c r="W43" s="157"/>
      <c r="X43" s="158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</row>
    <row r="44" spans="1:84" ht="20.149999999999999" customHeight="1">
      <c r="A44" s="25" t="s">
        <v>58</v>
      </c>
      <c r="B44" s="155" t="s">
        <v>86</v>
      </c>
      <c r="C44" s="25">
        <v>10</v>
      </c>
      <c r="D44" s="155" t="s">
        <v>65</v>
      </c>
      <c r="E44" s="155" t="s">
        <v>118</v>
      </c>
      <c r="F44" s="167">
        <f t="shared" si="11"/>
        <v>100389.08886199999</v>
      </c>
      <c r="G44" s="156">
        <v>35137.19</v>
      </c>
      <c r="H44" s="156">
        <v>19382.04</v>
      </c>
      <c r="I44" s="156">
        <v>11043.41</v>
      </c>
      <c r="J44" s="156"/>
      <c r="K44" s="156">
        <f t="shared" si="12"/>
        <v>4543.2691666666669</v>
      </c>
      <c r="L44" s="156">
        <f t="shared" si="13"/>
        <v>920.28416666666669</v>
      </c>
      <c r="M44" s="156">
        <f t="shared" si="14"/>
        <v>71026.193333333329</v>
      </c>
      <c r="N44" s="156">
        <f t="shared" si="15"/>
        <v>6037.2264333333333</v>
      </c>
      <c r="O44" s="156">
        <f t="shared" si="16"/>
        <v>17188.338786666667</v>
      </c>
      <c r="P44" s="156">
        <f t="shared" si="17"/>
        <v>2374.8576588000001</v>
      </c>
      <c r="Q44" s="156">
        <f t="shared" si="18"/>
        <v>3762.4726498666669</v>
      </c>
      <c r="R44" s="156">
        <f t="shared" si="19"/>
        <v>23325.669095333335</v>
      </c>
      <c r="S44" s="169">
        <f t="shared" si="20"/>
        <v>133.85211848266664</v>
      </c>
      <c r="V44" s="157"/>
      <c r="W44" s="157"/>
      <c r="X44" s="158"/>
    </row>
    <row r="45" spans="1:84" ht="20.149999999999999" customHeight="1">
      <c r="A45" s="25" t="s">
        <v>58</v>
      </c>
      <c r="B45" s="155" t="s">
        <v>86</v>
      </c>
      <c r="C45" s="25">
        <v>11</v>
      </c>
      <c r="D45" s="155" t="s">
        <v>65</v>
      </c>
      <c r="E45" s="155" t="s">
        <v>119</v>
      </c>
      <c r="F45" s="167">
        <f t="shared" si="11"/>
        <v>103625.42396070002</v>
      </c>
      <c r="G45" s="156">
        <v>35137.19</v>
      </c>
      <c r="H45" s="156">
        <v>21479.91</v>
      </c>
      <c r="I45" s="156">
        <v>11043.41</v>
      </c>
      <c r="J45" s="156"/>
      <c r="K45" s="156">
        <f t="shared" si="12"/>
        <v>4718.0916666666672</v>
      </c>
      <c r="L45" s="156">
        <f t="shared" si="13"/>
        <v>920.28416666666669</v>
      </c>
      <c r="M45" s="156">
        <f t="shared" si="14"/>
        <v>73298.885833333348</v>
      </c>
      <c r="N45" s="156">
        <f t="shared" si="15"/>
        <v>6230.4052958333341</v>
      </c>
      <c r="O45" s="156">
        <f t="shared" si="16"/>
        <v>17738.330371666671</v>
      </c>
      <c r="P45" s="156">
        <f t="shared" si="17"/>
        <v>2466.2408760000003</v>
      </c>
      <c r="Q45" s="156">
        <f t="shared" si="18"/>
        <v>3891.5615838666668</v>
      </c>
      <c r="R45" s="156">
        <f t="shared" si="19"/>
        <v>24096.132831533338</v>
      </c>
      <c r="S45" s="169">
        <f t="shared" si="20"/>
        <v>138.16723194760002</v>
      </c>
      <c r="V45" s="157"/>
      <c r="W45" s="157"/>
      <c r="X45" s="158"/>
    </row>
    <row r="46" spans="1:84" ht="20.149999999999999" customHeight="1">
      <c r="A46" s="160"/>
      <c r="B46" s="161"/>
      <c r="C46" s="160"/>
      <c r="D46" s="161"/>
      <c r="E46" s="161"/>
      <c r="F46" s="168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70"/>
      <c r="V46" s="157"/>
      <c r="W46" s="157"/>
      <c r="X46" s="158"/>
    </row>
    <row r="47" spans="1:84" ht="20.149999999999999" customHeight="1">
      <c r="A47" s="25" t="s">
        <v>58</v>
      </c>
      <c r="B47" s="155" t="s">
        <v>86</v>
      </c>
      <c r="C47" s="25">
        <v>0</v>
      </c>
      <c r="D47" s="155" t="s">
        <v>66</v>
      </c>
      <c r="E47" s="155" t="s">
        <v>68</v>
      </c>
      <c r="F47" s="167">
        <f t="shared" si="11"/>
        <v>104885.08094853332</v>
      </c>
      <c r="G47" s="163">
        <v>48535.49</v>
      </c>
      <c r="H47" s="163">
        <v>0</v>
      </c>
      <c r="I47" s="163">
        <v>11786.91</v>
      </c>
      <c r="J47" s="163">
        <v>11111.44</v>
      </c>
      <c r="K47" s="163">
        <f t="shared" si="12"/>
        <v>4044.6241666666665</v>
      </c>
      <c r="L47" s="163">
        <f t="shared" si="13"/>
        <v>982.24249999999995</v>
      </c>
      <c r="M47" s="163">
        <f t="shared" si="14"/>
        <v>76460.706666666651</v>
      </c>
      <c r="N47" s="163">
        <f t="shared" si="15"/>
        <v>6499.1600666666645</v>
      </c>
      <c r="O47" s="163">
        <f t="shared" si="16"/>
        <v>18503.491013333329</v>
      </c>
      <c r="P47" s="163"/>
      <c r="Q47" s="163">
        <f t="shared" si="18"/>
        <v>3421.7232018666668</v>
      </c>
      <c r="R47" s="163">
        <f t="shared" si="19"/>
        <v>21925.214215199994</v>
      </c>
      <c r="S47" s="169">
        <f>F47/1500</f>
        <v>69.92338729902221</v>
      </c>
      <c r="V47" s="157"/>
      <c r="W47" s="157"/>
      <c r="X47" s="158"/>
    </row>
    <row r="48" spans="1:84" s="164" customFormat="1" ht="20.149999999999999" customHeight="1">
      <c r="A48" s="25" t="s">
        <v>58</v>
      </c>
      <c r="B48" s="155" t="s">
        <v>86</v>
      </c>
      <c r="C48" s="25">
        <v>1</v>
      </c>
      <c r="D48" s="155" t="s">
        <v>66</v>
      </c>
      <c r="E48" s="155" t="s">
        <v>70</v>
      </c>
      <c r="F48" s="167">
        <f t="shared" si="11"/>
        <v>115502.25786986663</v>
      </c>
      <c r="G48" s="163">
        <v>48535.49</v>
      </c>
      <c r="H48" s="163">
        <v>6262.64</v>
      </c>
      <c r="I48" s="163">
        <v>11786.91</v>
      </c>
      <c r="J48" s="163">
        <v>12037.4</v>
      </c>
      <c r="K48" s="163">
        <f t="shared" si="12"/>
        <v>4566.5108333333328</v>
      </c>
      <c r="L48" s="163">
        <f t="shared" si="13"/>
        <v>982.24249999999995</v>
      </c>
      <c r="M48" s="163">
        <f t="shared" si="14"/>
        <v>84171.193333333315</v>
      </c>
      <c r="N48" s="163">
        <f t="shared" si="15"/>
        <v>7154.5514333333322</v>
      </c>
      <c r="O48" s="163">
        <f t="shared" si="16"/>
        <v>20369.42878666666</v>
      </c>
      <c r="P48" s="163"/>
      <c r="Q48" s="163">
        <f t="shared" si="18"/>
        <v>3807.0843165333331</v>
      </c>
      <c r="R48" s="163">
        <f t="shared" si="19"/>
        <v>24176.513103199992</v>
      </c>
      <c r="S48" s="169">
        <f t="shared" ref="S48:S58" si="21">F48/1500</f>
        <v>77.00150524657775</v>
      </c>
      <c r="T48" s="64"/>
      <c r="U48" s="64"/>
      <c r="V48" s="157"/>
      <c r="W48" s="157"/>
      <c r="X48" s="158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</row>
    <row r="49" spans="1:84" ht="20.149999999999999" customHeight="1">
      <c r="A49" s="25" t="s">
        <v>58</v>
      </c>
      <c r="B49" s="155" t="s">
        <v>86</v>
      </c>
      <c r="C49" s="25">
        <v>2</v>
      </c>
      <c r="D49" s="155" t="s">
        <v>66</v>
      </c>
      <c r="E49" s="155" t="s">
        <v>72</v>
      </c>
      <c r="F49" s="167">
        <f t="shared" si="11"/>
        <v>122653.88664819999</v>
      </c>
      <c r="G49" s="163">
        <v>48535.49</v>
      </c>
      <c r="H49" s="163">
        <v>9393.94</v>
      </c>
      <c r="I49" s="163">
        <v>11786.91</v>
      </c>
      <c r="J49" s="163">
        <v>13889.28</v>
      </c>
      <c r="K49" s="163">
        <f t="shared" si="12"/>
        <v>4827.4525000000003</v>
      </c>
      <c r="L49" s="163">
        <f t="shared" si="13"/>
        <v>982.24249999999995</v>
      </c>
      <c r="M49" s="163">
        <f t="shared" si="14"/>
        <v>89415.314999999988</v>
      </c>
      <c r="N49" s="163">
        <f t="shared" si="15"/>
        <v>7600.301774999999</v>
      </c>
      <c r="O49" s="163">
        <f t="shared" si="16"/>
        <v>21638.506229999995</v>
      </c>
      <c r="P49" s="163"/>
      <c r="Q49" s="163">
        <f t="shared" si="18"/>
        <v>3999.7636431999999</v>
      </c>
      <c r="R49" s="163">
        <f t="shared" si="19"/>
        <v>25638.269873199995</v>
      </c>
      <c r="S49" s="169">
        <f t="shared" si="21"/>
        <v>81.769257765466662</v>
      </c>
      <c r="V49" s="157"/>
      <c r="W49" s="157"/>
      <c r="X49" s="158"/>
    </row>
    <row r="50" spans="1:84" s="164" customFormat="1" ht="20.149999999999999" customHeight="1">
      <c r="A50" s="25" t="s">
        <v>58</v>
      </c>
      <c r="B50" s="155" t="s">
        <v>86</v>
      </c>
      <c r="C50" s="25">
        <v>3</v>
      </c>
      <c r="D50" s="155" t="s">
        <v>66</v>
      </c>
      <c r="E50" s="155" t="s">
        <v>74</v>
      </c>
      <c r="F50" s="167">
        <f t="shared" si="11"/>
        <v>133075.10109469999</v>
      </c>
      <c r="G50" s="163">
        <v>48535.49</v>
      </c>
      <c r="H50" s="163">
        <v>16345.51</v>
      </c>
      <c r="I50" s="163">
        <v>11786.91</v>
      </c>
      <c r="J50" s="163">
        <v>13889.28</v>
      </c>
      <c r="K50" s="163">
        <f t="shared" si="12"/>
        <v>5406.75</v>
      </c>
      <c r="L50" s="163">
        <f t="shared" si="13"/>
        <v>982.24249999999995</v>
      </c>
      <c r="M50" s="163">
        <f t="shared" si="14"/>
        <v>96946.182499999995</v>
      </c>
      <c r="N50" s="163">
        <f t="shared" si="15"/>
        <v>8240.4255125</v>
      </c>
      <c r="O50" s="163">
        <f t="shared" si="16"/>
        <v>23460.976165</v>
      </c>
      <c r="P50" s="163"/>
      <c r="Q50" s="163">
        <f t="shared" si="18"/>
        <v>4427.5169171999996</v>
      </c>
      <c r="R50" s="163">
        <f t="shared" si="19"/>
        <v>27888.493082199999</v>
      </c>
      <c r="S50" s="169">
        <f t="shared" si="21"/>
        <v>88.71673406313333</v>
      </c>
      <c r="T50" s="64"/>
      <c r="U50" s="64"/>
      <c r="V50" s="157"/>
      <c r="W50" s="157"/>
      <c r="X50" s="158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</row>
    <row r="51" spans="1:84" ht="20.149999999999999" customHeight="1">
      <c r="A51" s="25" t="s">
        <v>58</v>
      </c>
      <c r="B51" s="155" t="s">
        <v>86</v>
      </c>
      <c r="C51" s="25">
        <v>4</v>
      </c>
      <c r="D51" s="155" t="s">
        <v>66</v>
      </c>
      <c r="E51" s="155" t="s">
        <v>76</v>
      </c>
      <c r="F51" s="167">
        <f>M51+N51+R51</f>
        <v>138285.68583119998</v>
      </c>
      <c r="G51" s="163">
        <v>48535.49</v>
      </c>
      <c r="H51" s="163">
        <v>19821.28</v>
      </c>
      <c r="I51" s="163">
        <v>11786.91</v>
      </c>
      <c r="J51" s="163">
        <v>13889.28</v>
      </c>
      <c r="K51" s="163">
        <f>(G51+H51)/12</f>
        <v>5696.3974999999991</v>
      </c>
      <c r="L51" s="163">
        <f>I51/12</f>
        <v>982.24249999999995</v>
      </c>
      <c r="M51" s="163">
        <f>SUM(G51:L51)</f>
        <v>100711.59999999998</v>
      </c>
      <c r="N51" s="163">
        <f t="shared" si="15"/>
        <v>8560.485999999999</v>
      </c>
      <c r="O51" s="163">
        <f t="shared" si="16"/>
        <v>24372.207199999993</v>
      </c>
      <c r="P51" s="163"/>
      <c r="Q51" s="163">
        <f t="shared" si="18"/>
        <v>4641.3926311999985</v>
      </c>
      <c r="R51" s="163">
        <f>O51+P51+Q51</f>
        <v>29013.599831199994</v>
      </c>
      <c r="S51" s="169">
        <f t="shared" si="21"/>
        <v>92.190457220799985</v>
      </c>
      <c r="V51" s="157"/>
      <c r="W51" s="157"/>
      <c r="X51" s="158"/>
    </row>
    <row r="52" spans="1:84" s="164" customFormat="1" ht="20.149999999999999" customHeight="1">
      <c r="A52" s="25" t="s">
        <v>58</v>
      </c>
      <c r="B52" s="155" t="s">
        <v>86</v>
      </c>
      <c r="C52" s="25">
        <v>5</v>
      </c>
      <c r="D52" s="155" t="s">
        <v>66</v>
      </c>
      <c r="E52" s="155" t="s">
        <v>78</v>
      </c>
      <c r="F52" s="167">
        <f t="shared" si="11"/>
        <v>148706.82532186664</v>
      </c>
      <c r="G52" s="163">
        <v>48535.49</v>
      </c>
      <c r="H52" s="163">
        <v>26772.799999999999</v>
      </c>
      <c r="I52" s="163">
        <v>11786.91</v>
      </c>
      <c r="J52" s="163">
        <v>13889.28</v>
      </c>
      <c r="K52" s="163">
        <f t="shared" si="12"/>
        <v>6275.6908333333331</v>
      </c>
      <c r="L52" s="163">
        <f t="shared" si="13"/>
        <v>982.24249999999995</v>
      </c>
      <c r="M52" s="163">
        <f t="shared" si="14"/>
        <v>108242.41333333332</v>
      </c>
      <c r="N52" s="163">
        <f t="shared" si="15"/>
        <v>9200.6051333333326</v>
      </c>
      <c r="O52" s="163">
        <f t="shared" si="16"/>
        <v>26194.664026666662</v>
      </c>
      <c r="P52" s="163"/>
      <c r="Q52" s="163">
        <f t="shared" si="18"/>
        <v>5069.1428285333322</v>
      </c>
      <c r="R52" s="163">
        <f t="shared" si="19"/>
        <v>31263.806855199993</v>
      </c>
      <c r="S52" s="169">
        <f t="shared" si="21"/>
        <v>99.137883547911088</v>
      </c>
      <c r="T52" s="64"/>
      <c r="U52" s="64"/>
      <c r="V52" s="157"/>
      <c r="W52" s="157"/>
      <c r="X52" s="158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</row>
    <row r="53" spans="1:84" ht="20.149999999999999" customHeight="1">
      <c r="A53" s="25" t="s">
        <v>58</v>
      </c>
      <c r="B53" s="155" t="s">
        <v>86</v>
      </c>
      <c r="C53" s="25">
        <v>6</v>
      </c>
      <c r="D53" s="155" t="s">
        <v>66</v>
      </c>
      <c r="E53" s="155" t="s">
        <v>80</v>
      </c>
      <c r="F53" s="167">
        <f t="shared" si="11"/>
        <v>153917.39506719998</v>
      </c>
      <c r="G53" s="163">
        <v>48535.49</v>
      </c>
      <c r="H53" s="163">
        <v>30248.560000000001</v>
      </c>
      <c r="I53" s="163">
        <v>11786.91</v>
      </c>
      <c r="J53" s="163">
        <v>13889.28</v>
      </c>
      <c r="K53" s="163">
        <f t="shared" si="12"/>
        <v>6565.3375000000005</v>
      </c>
      <c r="L53" s="163">
        <f t="shared" si="13"/>
        <v>982.24249999999995</v>
      </c>
      <c r="M53" s="163">
        <f t="shared" si="14"/>
        <v>112007.81999999999</v>
      </c>
      <c r="N53" s="163">
        <f t="shared" si="15"/>
        <v>9520.6646999999994</v>
      </c>
      <c r="O53" s="163">
        <f t="shared" si="16"/>
        <v>27105.89244</v>
      </c>
      <c r="P53" s="163"/>
      <c r="Q53" s="163">
        <f t="shared" si="18"/>
        <v>5283.0179271999996</v>
      </c>
      <c r="R53" s="163">
        <f t="shared" si="19"/>
        <v>32388.910367199998</v>
      </c>
      <c r="S53" s="169">
        <f t="shared" si="21"/>
        <v>102.61159671146665</v>
      </c>
      <c r="V53" s="157"/>
      <c r="W53" s="157"/>
      <c r="X53" s="158"/>
    </row>
    <row r="54" spans="1:84" s="164" customFormat="1" ht="20.149999999999999" customHeight="1">
      <c r="A54" s="25" t="s">
        <v>58</v>
      </c>
      <c r="B54" s="155" t="s">
        <v>86</v>
      </c>
      <c r="C54" s="25">
        <v>7</v>
      </c>
      <c r="D54" s="155" t="s">
        <v>66</v>
      </c>
      <c r="E54" s="155" t="s">
        <v>81</v>
      </c>
      <c r="F54" s="167">
        <f t="shared" si="11"/>
        <v>164338.56454019999</v>
      </c>
      <c r="G54" s="163">
        <v>48535.49</v>
      </c>
      <c r="H54" s="163">
        <v>37200.1</v>
      </c>
      <c r="I54" s="163">
        <v>11786.91</v>
      </c>
      <c r="J54" s="163">
        <v>13889.28</v>
      </c>
      <c r="K54" s="163">
        <f t="shared" si="12"/>
        <v>7144.6324999999997</v>
      </c>
      <c r="L54" s="163">
        <f t="shared" si="13"/>
        <v>982.24249999999995</v>
      </c>
      <c r="M54" s="163">
        <f t="shared" si="14"/>
        <v>119538.655</v>
      </c>
      <c r="N54" s="163">
        <f t="shared" si="15"/>
        <v>10160.785674999999</v>
      </c>
      <c r="O54" s="163">
        <f t="shared" si="16"/>
        <v>28928.354509999997</v>
      </c>
      <c r="P54" s="163"/>
      <c r="Q54" s="163">
        <f t="shared" si="18"/>
        <v>5710.7693551999992</v>
      </c>
      <c r="R54" s="163">
        <f t="shared" si="19"/>
        <v>34639.123865199996</v>
      </c>
      <c r="S54" s="169">
        <f t="shared" si="21"/>
        <v>109.5590430268</v>
      </c>
      <c r="T54" s="64"/>
      <c r="U54" s="64"/>
      <c r="V54" s="157"/>
      <c r="W54" s="157"/>
      <c r="X54" s="158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</row>
    <row r="55" spans="1:84" ht="20.149999999999999" customHeight="1">
      <c r="A55" s="25" t="s">
        <v>58</v>
      </c>
      <c r="B55" s="155" t="s">
        <v>86</v>
      </c>
      <c r="C55" s="25">
        <v>8</v>
      </c>
      <c r="D55" s="155" t="s">
        <v>66</v>
      </c>
      <c r="E55" s="155" t="s">
        <v>82</v>
      </c>
      <c r="F55" s="167">
        <f t="shared" si="11"/>
        <v>167551.75621236666</v>
      </c>
      <c r="G55" s="163">
        <v>48535.49</v>
      </c>
      <c r="H55" s="163">
        <v>39343.49</v>
      </c>
      <c r="I55" s="163">
        <v>11786.91</v>
      </c>
      <c r="J55" s="163">
        <v>13889.28</v>
      </c>
      <c r="K55" s="163">
        <f t="shared" si="12"/>
        <v>7323.248333333333</v>
      </c>
      <c r="L55" s="163">
        <f t="shared" si="13"/>
        <v>982.24249999999995</v>
      </c>
      <c r="M55" s="163">
        <f t="shared" si="14"/>
        <v>121860.66083333333</v>
      </c>
      <c r="N55" s="163">
        <f t="shared" si="15"/>
        <v>10358.156170833334</v>
      </c>
      <c r="O55" s="163">
        <f t="shared" si="16"/>
        <v>29490.279921666664</v>
      </c>
      <c r="P55" s="163"/>
      <c r="Q55" s="163">
        <f t="shared" si="18"/>
        <v>5842.6592865333332</v>
      </c>
      <c r="R55" s="163">
        <f t="shared" si="19"/>
        <v>35332.939208199998</v>
      </c>
      <c r="S55" s="169">
        <f t="shared" si="21"/>
        <v>111.70117080824444</v>
      </c>
      <c r="V55" s="157"/>
      <c r="W55" s="157"/>
      <c r="X55" s="158"/>
    </row>
    <row r="56" spans="1:84" s="164" customFormat="1" ht="20.149999999999999" customHeight="1">
      <c r="A56" s="25" t="s">
        <v>58</v>
      </c>
      <c r="B56" s="155" t="s">
        <v>86</v>
      </c>
      <c r="C56" s="25">
        <v>9</v>
      </c>
      <c r="D56" s="155" t="s">
        <v>66</v>
      </c>
      <c r="E56" s="155" t="s">
        <v>83</v>
      </c>
      <c r="F56" s="167">
        <f t="shared" si="11"/>
        <v>173978.15454786667</v>
      </c>
      <c r="G56" s="163">
        <v>48535.49</v>
      </c>
      <c r="H56" s="163">
        <v>43630.28</v>
      </c>
      <c r="I56" s="163">
        <v>11786.91</v>
      </c>
      <c r="J56" s="163">
        <v>13889.28</v>
      </c>
      <c r="K56" s="163">
        <f t="shared" si="12"/>
        <v>7680.4808333333322</v>
      </c>
      <c r="L56" s="163">
        <f t="shared" si="13"/>
        <v>982.24249999999995</v>
      </c>
      <c r="M56" s="163">
        <f t="shared" si="14"/>
        <v>126504.68333333332</v>
      </c>
      <c r="N56" s="163">
        <f t="shared" si="15"/>
        <v>10752.898083333332</v>
      </c>
      <c r="O56" s="163">
        <f t="shared" si="16"/>
        <v>30614.133366666665</v>
      </c>
      <c r="P56" s="163"/>
      <c r="Q56" s="163">
        <f t="shared" si="18"/>
        <v>6106.439764533332</v>
      </c>
      <c r="R56" s="163">
        <f t="shared" si="19"/>
        <v>36720.573131199999</v>
      </c>
      <c r="S56" s="169">
        <f t="shared" si="21"/>
        <v>115.98543636524444</v>
      </c>
      <c r="T56" s="64"/>
      <c r="U56" s="64"/>
      <c r="V56" s="157"/>
      <c r="W56" s="157"/>
      <c r="X56" s="158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</row>
    <row r="57" spans="1:84" ht="20.149999999999999" customHeight="1">
      <c r="A57" s="25" t="s">
        <v>58</v>
      </c>
      <c r="B57" s="155" t="s">
        <v>86</v>
      </c>
      <c r="C57" s="25">
        <v>10</v>
      </c>
      <c r="D57" s="155" t="s">
        <v>66</v>
      </c>
      <c r="E57" s="155" t="s">
        <v>84</v>
      </c>
      <c r="F57" s="167">
        <f t="shared" si="11"/>
        <v>177191.34622003333</v>
      </c>
      <c r="G57" s="163">
        <v>48535.49</v>
      </c>
      <c r="H57" s="163">
        <v>45773.67</v>
      </c>
      <c r="I57" s="163">
        <v>11786.91</v>
      </c>
      <c r="J57" s="163">
        <v>13889.28</v>
      </c>
      <c r="K57" s="163">
        <f t="shared" si="12"/>
        <v>7859.0966666666673</v>
      </c>
      <c r="L57" s="163">
        <f t="shared" si="13"/>
        <v>982.24249999999995</v>
      </c>
      <c r="M57" s="163">
        <f t="shared" si="14"/>
        <v>128826.68916666666</v>
      </c>
      <c r="N57" s="163">
        <f t="shared" si="15"/>
        <v>10950.268579166666</v>
      </c>
      <c r="O57" s="163">
        <f t="shared" si="16"/>
        <v>31176.058778333332</v>
      </c>
      <c r="P57" s="163"/>
      <c r="Q57" s="163">
        <f t="shared" si="18"/>
        <v>6238.329695866667</v>
      </c>
      <c r="R57" s="163">
        <f t="shared" si="19"/>
        <v>37414.388474200001</v>
      </c>
      <c r="S57" s="169">
        <f t="shared" si="21"/>
        <v>118.12756414668888</v>
      </c>
      <c r="V57" s="157"/>
      <c r="W57" s="157"/>
      <c r="X57" s="158"/>
    </row>
    <row r="58" spans="1:84" s="164" customFormat="1" ht="20.149999999999999" customHeight="1">
      <c r="A58" s="25" t="s">
        <v>58</v>
      </c>
      <c r="B58" s="155" t="s">
        <v>86</v>
      </c>
      <c r="C58" s="25">
        <v>11</v>
      </c>
      <c r="D58" s="155" t="s">
        <v>66</v>
      </c>
      <c r="E58" s="155" t="s">
        <v>85</v>
      </c>
      <c r="F58" s="167">
        <f t="shared" si="11"/>
        <v>183617.74455553334</v>
      </c>
      <c r="G58" s="163">
        <v>48535.49</v>
      </c>
      <c r="H58" s="163">
        <v>50060.46</v>
      </c>
      <c r="I58" s="163">
        <v>11786.91</v>
      </c>
      <c r="J58" s="163">
        <v>13889.28</v>
      </c>
      <c r="K58" s="163">
        <f t="shared" si="12"/>
        <v>8216.3291666666664</v>
      </c>
      <c r="L58" s="163">
        <f t="shared" si="13"/>
        <v>982.24249999999995</v>
      </c>
      <c r="M58" s="163">
        <f t="shared" si="14"/>
        <v>133470.71166666667</v>
      </c>
      <c r="N58" s="163">
        <f t="shared" si="15"/>
        <v>11345.010491666668</v>
      </c>
      <c r="O58" s="163">
        <f t="shared" si="16"/>
        <v>32299.912223333333</v>
      </c>
      <c r="P58" s="163"/>
      <c r="Q58" s="163">
        <f t="shared" si="18"/>
        <v>6502.1101738666666</v>
      </c>
      <c r="R58" s="163">
        <f t="shared" si="19"/>
        <v>38802.022397200002</v>
      </c>
      <c r="S58" s="169">
        <f t="shared" si="21"/>
        <v>122.41182970368889</v>
      </c>
      <c r="T58" s="64"/>
      <c r="U58" s="64"/>
      <c r="V58" s="157"/>
      <c r="W58" s="157"/>
      <c r="X58" s="158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</row>
    <row r="59" spans="1:84">
      <c r="A59" s="165"/>
      <c r="B59" s="152"/>
      <c r="C59" s="165"/>
      <c r="D59" s="152"/>
      <c r="E59" s="152"/>
      <c r="F59" s="153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82"/>
    </row>
    <row r="60" spans="1:84">
      <c r="A60" s="165"/>
      <c r="B60" s="152"/>
      <c r="C60" s="165"/>
      <c r="D60" s="152"/>
      <c r="E60" s="152"/>
      <c r="F60" s="153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82"/>
    </row>
    <row r="61" spans="1:84">
      <c r="A61" s="165"/>
      <c r="B61" s="152"/>
      <c r="C61" s="165"/>
      <c r="D61" s="152"/>
      <c r="E61" s="152"/>
      <c r="F61" s="153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82"/>
    </row>
    <row r="62" spans="1:84">
      <c r="A62" s="165"/>
      <c r="B62" s="152"/>
      <c r="C62" s="165"/>
      <c r="D62" s="152"/>
      <c r="E62" s="152"/>
      <c r="F62" s="153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82"/>
    </row>
    <row r="63" spans="1:84">
      <c r="A63" s="165"/>
      <c r="B63" s="152"/>
      <c r="C63" s="165"/>
      <c r="D63" s="152"/>
      <c r="E63" s="152"/>
      <c r="F63" s="153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82"/>
    </row>
    <row r="64" spans="1:84">
      <c r="A64" s="165"/>
      <c r="B64" s="152"/>
      <c r="C64" s="165"/>
      <c r="D64" s="152"/>
      <c r="E64" s="152"/>
      <c r="F64" s="153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82"/>
    </row>
    <row r="65" spans="1:19">
      <c r="A65" s="165"/>
      <c r="B65" s="152"/>
      <c r="C65" s="165"/>
      <c r="D65" s="152"/>
      <c r="E65" s="152"/>
      <c r="F65" s="153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82"/>
    </row>
    <row r="66" spans="1:19">
      <c r="A66" s="165"/>
      <c r="B66" s="152"/>
      <c r="C66" s="165"/>
      <c r="D66" s="152"/>
      <c r="E66" s="152"/>
      <c r="F66" s="153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82"/>
    </row>
    <row r="67" spans="1:19">
      <c r="A67" s="165"/>
      <c r="B67" s="152"/>
      <c r="C67" s="165"/>
      <c r="D67" s="152"/>
      <c r="E67" s="152"/>
      <c r="F67" s="153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82"/>
    </row>
    <row r="68" spans="1:19">
      <c r="A68" s="165"/>
      <c r="B68" s="152"/>
      <c r="C68" s="165"/>
      <c r="D68" s="152"/>
      <c r="E68" s="152"/>
      <c r="F68" s="153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82"/>
    </row>
    <row r="69" spans="1:19">
      <c r="A69" s="165"/>
      <c r="B69" s="152"/>
      <c r="C69" s="165"/>
      <c r="D69" s="152"/>
      <c r="E69" s="152"/>
      <c r="F69" s="153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</row>
    <row r="70" spans="1:19">
      <c r="A70" s="165"/>
      <c r="B70" s="152"/>
      <c r="C70" s="165"/>
      <c r="D70" s="152"/>
      <c r="E70" s="152"/>
      <c r="F70" s="153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81"/>
  <sheetViews>
    <sheetView workbookViewId="0">
      <selection activeCell="P6" sqref="P6"/>
    </sheetView>
  </sheetViews>
  <sheetFormatPr defaultColWidth="9.1796875" defaultRowHeight="13"/>
  <cols>
    <col min="1" max="1" width="8.7265625" style="5" customWidth="1"/>
    <col min="2" max="2" width="15.81640625" style="6" customWidth="1"/>
    <col min="3" max="3" width="23.54296875" style="6" customWidth="1"/>
    <col min="4" max="7" width="11.54296875" style="9" hidden="1" customWidth="1"/>
    <col min="8" max="8" width="10.453125" style="9" hidden="1" customWidth="1"/>
    <col min="9" max="9" width="9.453125" style="9" hidden="1" customWidth="1"/>
    <col min="10" max="10" width="14.1796875" style="8" hidden="1" customWidth="1"/>
    <col min="11" max="11" width="10.453125" style="9" hidden="1" customWidth="1"/>
    <col min="12" max="12" width="11.54296875" style="9" hidden="1" customWidth="1"/>
    <col min="13" max="13" width="14.1796875" style="9" hidden="1" customWidth="1"/>
    <col min="14" max="14" width="14.1796875" style="7" hidden="1" customWidth="1"/>
    <col min="15" max="15" width="16.81640625" style="8" customWidth="1"/>
    <col min="16" max="16" width="13.26953125" style="6" customWidth="1"/>
    <col min="17" max="17" width="11.26953125" style="6" bestFit="1" customWidth="1"/>
    <col min="18" max="16384" width="9.1796875" style="6"/>
  </cols>
  <sheetData>
    <row r="1" spans="1:20" s="127" customFormat="1" ht="18">
      <c r="A1" s="126" t="s">
        <v>280</v>
      </c>
      <c r="D1" s="128"/>
      <c r="E1" s="128"/>
      <c r="F1" s="128"/>
      <c r="G1" s="128"/>
      <c r="H1" s="128"/>
      <c r="I1" s="128"/>
      <c r="J1" s="129"/>
      <c r="K1" s="128"/>
      <c r="L1" s="128"/>
      <c r="M1" s="128"/>
      <c r="N1" s="129"/>
      <c r="O1" s="129"/>
    </row>
    <row r="2" spans="1:20">
      <c r="A2" s="5" t="s">
        <v>288</v>
      </c>
    </row>
    <row r="3" spans="1:20">
      <c r="Q3" s="18" t="s">
        <v>259</v>
      </c>
    </row>
    <row r="4" spans="1:20">
      <c r="Q4" s="17" t="s">
        <v>260</v>
      </c>
    </row>
    <row r="5" spans="1:20" s="5" customFormat="1" ht="39">
      <c r="A5" s="21" t="s">
        <v>0</v>
      </c>
      <c r="B5" s="43" t="s">
        <v>1</v>
      </c>
      <c r="C5" s="21" t="s">
        <v>2</v>
      </c>
      <c r="D5" s="13" t="s">
        <v>289</v>
      </c>
      <c r="E5" s="13" t="s">
        <v>198</v>
      </c>
      <c r="F5" s="13" t="s">
        <v>199</v>
      </c>
      <c r="G5" s="13" t="s">
        <v>200</v>
      </c>
      <c r="H5" s="13" t="s">
        <v>201</v>
      </c>
      <c r="I5" s="13" t="s">
        <v>202</v>
      </c>
      <c r="J5" s="14" t="s">
        <v>203</v>
      </c>
      <c r="K5" s="13" t="s">
        <v>204</v>
      </c>
      <c r="L5" s="13" t="s">
        <v>205</v>
      </c>
      <c r="M5" s="13" t="s">
        <v>206</v>
      </c>
      <c r="N5" s="14" t="s">
        <v>207</v>
      </c>
      <c r="O5" s="22" t="s">
        <v>3</v>
      </c>
      <c r="P5" s="31" t="s">
        <v>257</v>
      </c>
    </row>
    <row r="6" spans="1:20" s="5" customFormat="1">
      <c r="A6" s="40" t="s">
        <v>58</v>
      </c>
      <c r="B6" s="40" t="s">
        <v>14</v>
      </c>
      <c r="C6" s="40" t="s">
        <v>15</v>
      </c>
      <c r="D6" s="41">
        <v>28336.44</v>
      </c>
      <c r="E6" s="41">
        <v>0</v>
      </c>
      <c r="F6" s="41">
        <v>11043.41</v>
      </c>
      <c r="G6" s="41">
        <v>0</v>
      </c>
      <c r="H6" s="41">
        <f t="shared" ref="H6:H33" si="0">(D6+E6)/12</f>
        <v>2361.37</v>
      </c>
      <c r="I6" s="41">
        <f t="shared" ref="I6:I33" si="1">F6/12</f>
        <v>920.28416666666669</v>
      </c>
      <c r="J6" s="42">
        <f>D6+E6+F6+G6+H6+I6</f>
        <v>42661.504166666666</v>
      </c>
      <c r="K6" s="41">
        <f t="shared" ref="K6:K33" si="2">J6*0.085</f>
        <v>3626.2278541666669</v>
      </c>
      <c r="L6" s="41">
        <f>(J6/100*24.2)+(D6*18%*24.2%)+(E6*18%*24.2%)</f>
        <v>11558.419334733333</v>
      </c>
      <c r="M6" s="41">
        <f t="shared" ref="M6:M33" si="3">(((D6+E6+H6)/100*80)+((F6+I6)/100*48))/100*7.1</f>
        <v>2151.3583051999994</v>
      </c>
      <c r="N6" s="42">
        <f>K6+L6+M6</f>
        <v>17336.005494099998</v>
      </c>
      <c r="O6" s="130">
        <f>J6+N6</f>
        <v>59997.509660766664</v>
      </c>
      <c r="P6" s="132">
        <f>O6/750</f>
        <v>79.996679547688885</v>
      </c>
      <c r="T6" s="55"/>
    </row>
    <row r="7" spans="1:20" s="5" customFormat="1">
      <c r="A7" s="12" t="s">
        <v>58</v>
      </c>
      <c r="B7" s="12" t="s">
        <v>14</v>
      </c>
      <c r="C7" s="12" t="s">
        <v>16</v>
      </c>
      <c r="D7" s="15">
        <v>28336.44</v>
      </c>
      <c r="E7" s="15">
        <v>4533.82</v>
      </c>
      <c r="F7" s="15">
        <v>11043.41</v>
      </c>
      <c r="G7" s="15">
        <v>0</v>
      </c>
      <c r="H7" s="15">
        <f t="shared" si="0"/>
        <v>2739.188333333333</v>
      </c>
      <c r="I7" s="15">
        <f t="shared" si="1"/>
        <v>920.28416666666669</v>
      </c>
      <c r="J7" s="14">
        <f t="shared" ref="J7:J33" si="4">D7+E7+F7+G7+H7+I7</f>
        <v>47573.142499999994</v>
      </c>
      <c r="K7" s="15">
        <f t="shared" si="2"/>
        <v>4043.7171125</v>
      </c>
      <c r="L7" s="15">
        <f t="shared" ref="L7:L33" si="5">(J7/100*24.2)+(D7*18%*24.2%)+(E7*18%*24.2%)</f>
        <v>12944.529010599997</v>
      </c>
      <c r="M7" s="15">
        <f t="shared" si="3"/>
        <v>2430.3393625333329</v>
      </c>
      <c r="N7" s="14">
        <f t="shared" ref="N7:N33" si="6">K7+L7+M7</f>
        <v>19418.585485633332</v>
      </c>
      <c r="O7" s="28">
        <f t="shared" ref="O7:O33" si="7">J7+N7</f>
        <v>66991.727985633333</v>
      </c>
      <c r="P7" s="132">
        <f t="shared" ref="P7:P33" si="8">O7/750</f>
        <v>89.322303980844438</v>
      </c>
      <c r="T7" s="55"/>
    </row>
    <row r="8" spans="1:20" s="5" customFormat="1">
      <c r="A8" s="12" t="s">
        <v>58</v>
      </c>
      <c r="B8" s="12" t="s">
        <v>14</v>
      </c>
      <c r="C8" s="12" t="s">
        <v>17</v>
      </c>
      <c r="D8" s="15">
        <v>28336.44</v>
      </c>
      <c r="E8" s="15">
        <v>6800.75</v>
      </c>
      <c r="F8" s="15">
        <v>11043.41</v>
      </c>
      <c r="G8" s="15">
        <v>0</v>
      </c>
      <c r="H8" s="15">
        <f t="shared" si="0"/>
        <v>2928.0991666666669</v>
      </c>
      <c r="I8" s="15">
        <f t="shared" si="1"/>
        <v>920.28416666666669</v>
      </c>
      <c r="J8" s="14">
        <f t="shared" si="4"/>
        <v>50028.983333333337</v>
      </c>
      <c r="K8" s="15">
        <f t="shared" si="2"/>
        <v>4252.4635833333341</v>
      </c>
      <c r="L8" s="15">
        <f t="shared" si="5"/>
        <v>13637.589963066666</v>
      </c>
      <c r="M8" s="15">
        <f t="shared" si="3"/>
        <v>2569.8311218666668</v>
      </c>
      <c r="N8" s="14">
        <f t="shared" si="6"/>
        <v>20459.884668266666</v>
      </c>
      <c r="O8" s="28">
        <f t="shared" si="7"/>
        <v>70488.8680016</v>
      </c>
      <c r="P8" s="132">
        <f t="shared" si="8"/>
        <v>93.985157335466667</v>
      </c>
      <c r="T8" s="55"/>
    </row>
    <row r="9" spans="1:20" s="5" customFormat="1">
      <c r="A9" s="12" t="s">
        <v>58</v>
      </c>
      <c r="B9" s="12" t="s">
        <v>14</v>
      </c>
      <c r="C9" s="12" t="s">
        <v>18</v>
      </c>
      <c r="D9" s="15">
        <v>28336.44</v>
      </c>
      <c r="E9" s="15">
        <v>11334.57</v>
      </c>
      <c r="F9" s="15">
        <v>11043.41</v>
      </c>
      <c r="G9" s="15">
        <v>0</v>
      </c>
      <c r="H9" s="15">
        <f t="shared" si="0"/>
        <v>3305.9174999999996</v>
      </c>
      <c r="I9" s="15">
        <f t="shared" si="1"/>
        <v>920.28416666666669</v>
      </c>
      <c r="J9" s="14">
        <f t="shared" si="4"/>
        <v>54940.621666666659</v>
      </c>
      <c r="K9" s="15">
        <f t="shared" si="2"/>
        <v>4669.9528416666662</v>
      </c>
      <c r="L9" s="15">
        <f t="shared" si="5"/>
        <v>15023.699638933331</v>
      </c>
      <c r="M9" s="15">
        <f t="shared" si="3"/>
        <v>2848.8121791999988</v>
      </c>
      <c r="N9" s="14">
        <f t="shared" si="6"/>
        <v>22542.464659799996</v>
      </c>
      <c r="O9" s="28">
        <f t="shared" si="7"/>
        <v>77483.086326466655</v>
      </c>
      <c r="P9" s="132">
        <f t="shared" si="8"/>
        <v>103.31078176862221</v>
      </c>
      <c r="T9" s="55"/>
    </row>
    <row r="10" spans="1:20" s="5" customFormat="1">
      <c r="A10" s="12" t="s">
        <v>58</v>
      </c>
      <c r="B10" s="12" t="s">
        <v>14</v>
      </c>
      <c r="C10" s="12" t="s">
        <v>19</v>
      </c>
      <c r="D10" s="15">
        <v>28336.44</v>
      </c>
      <c r="E10" s="15">
        <v>13601.49</v>
      </c>
      <c r="F10" s="15">
        <v>11043.41</v>
      </c>
      <c r="G10" s="15">
        <v>0</v>
      </c>
      <c r="H10" s="15">
        <f t="shared" si="0"/>
        <v>3494.8274999999999</v>
      </c>
      <c r="I10" s="15">
        <f t="shared" si="1"/>
        <v>920.28416666666669</v>
      </c>
      <c r="J10" s="14">
        <f t="shared" si="4"/>
        <v>57396.45166666666</v>
      </c>
      <c r="K10" s="15">
        <f t="shared" si="2"/>
        <v>4878.6983916666668</v>
      </c>
      <c r="L10" s="15">
        <f t="shared" si="5"/>
        <v>15716.757534133329</v>
      </c>
      <c r="M10" s="15">
        <f t="shared" si="3"/>
        <v>2988.3033232000002</v>
      </c>
      <c r="N10" s="14">
        <f t="shared" si="6"/>
        <v>23583.759248999995</v>
      </c>
      <c r="O10" s="28">
        <f t="shared" si="7"/>
        <v>80980.210915666656</v>
      </c>
      <c r="P10" s="132">
        <f t="shared" si="8"/>
        <v>107.97361455422221</v>
      </c>
      <c r="T10" s="55"/>
    </row>
    <row r="11" spans="1:20" s="5" customFormat="1">
      <c r="A11" s="12" t="s">
        <v>58</v>
      </c>
      <c r="B11" s="12" t="s">
        <v>14</v>
      </c>
      <c r="C11" s="12" t="s">
        <v>20</v>
      </c>
      <c r="D11" s="15">
        <v>28336.44</v>
      </c>
      <c r="E11" s="15">
        <v>15698.38</v>
      </c>
      <c r="F11" s="15">
        <v>11043.41</v>
      </c>
      <c r="G11" s="15">
        <v>0</v>
      </c>
      <c r="H11" s="15">
        <f t="shared" si="0"/>
        <v>3669.5683333333332</v>
      </c>
      <c r="I11" s="15">
        <f t="shared" si="1"/>
        <v>920.28416666666669</v>
      </c>
      <c r="J11" s="14">
        <f t="shared" si="4"/>
        <v>59668.082499999997</v>
      </c>
      <c r="K11" s="15">
        <f t="shared" si="2"/>
        <v>5071.7870124999999</v>
      </c>
      <c r="L11" s="15">
        <f t="shared" si="5"/>
        <v>16357.832724199996</v>
      </c>
      <c r="M11" s="15">
        <f t="shared" si="3"/>
        <v>3117.3319545333329</v>
      </c>
      <c r="N11" s="14">
        <f t="shared" si="6"/>
        <v>24546.951691233327</v>
      </c>
      <c r="O11" s="28">
        <f t="shared" si="7"/>
        <v>84215.034191233324</v>
      </c>
      <c r="P11" s="132">
        <f t="shared" si="8"/>
        <v>112.28671225497777</v>
      </c>
      <c r="T11" s="55"/>
    </row>
    <row r="12" spans="1:20" s="5" customFormat="1">
      <c r="A12" s="12" t="s">
        <v>58</v>
      </c>
      <c r="B12" s="12" t="s">
        <v>14</v>
      </c>
      <c r="C12" s="12" t="s">
        <v>21</v>
      </c>
      <c r="D12" s="15">
        <v>28336.44</v>
      </c>
      <c r="E12" s="15">
        <v>16746.82</v>
      </c>
      <c r="F12" s="15">
        <v>11043.41</v>
      </c>
      <c r="G12" s="15">
        <v>0</v>
      </c>
      <c r="H12" s="15">
        <f t="shared" si="0"/>
        <v>3756.938333333333</v>
      </c>
      <c r="I12" s="15">
        <f t="shared" si="1"/>
        <v>920.28416666666669</v>
      </c>
      <c r="J12" s="14">
        <f t="shared" si="4"/>
        <v>60803.892499999994</v>
      </c>
      <c r="K12" s="15">
        <f t="shared" si="2"/>
        <v>5168.3308625</v>
      </c>
      <c r="L12" s="15">
        <f t="shared" si="5"/>
        <v>16678.368790599998</v>
      </c>
      <c r="M12" s="15">
        <f t="shared" si="3"/>
        <v>3181.8459625333326</v>
      </c>
      <c r="N12" s="14">
        <f t="shared" si="6"/>
        <v>25028.545615633331</v>
      </c>
      <c r="O12" s="28">
        <f t="shared" si="7"/>
        <v>85832.438115633326</v>
      </c>
      <c r="P12" s="132">
        <f t="shared" si="8"/>
        <v>114.44325082084444</v>
      </c>
      <c r="T12" s="55"/>
    </row>
    <row r="13" spans="1:20" s="5" customFormat="1">
      <c r="A13" s="12" t="s">
        <v>58</v>
      </c>
      <c r="B13" s="12" t="s">
        <v>14</v>
      </c>
      <c r="C13" s="12" t="s">
        <v>22</v>
      </c>
      <c r="D13" s="15">
        <v>28336.44</v>
      </c>
      <c r="E13" s="15">
        <v>18843.7</v>
      </c>
      <c r="F13" s="15">
        <v>11043.41</v>
      </c>
      <c r="G13" s="15">
        <v>0</v>
      </c>
      <c r="H13" s="15">
        <f t="shared" si="0"/>
        <v>3931.6783333333333</v>
      </c>
      <c r="I13" s="15">
        <f t="shared" si="1"/>
        <v>920.28416666666669</v>
      </c>
      <c r="J13" s="14">
        <f t="shared" si="4"/>
        <v>63075.512499999997</v>
      </c>
      <c r="K13" s="15">
        <f t="shared" si="2"/>
        <v>5361.4185625</v>
      </c>
      <c r="L13" s="15">
        <f t="shared" si="5"/>
        <v>17319.440923400001</v>
      </c>
      <c r="M13" s="15">
        <f t="shared" si="3"/>
        <v>3310.8739785333328</v>
      </c>
      <c r="N13" s="14">
        <f t="shared" si="6"/>
        <v>25991.733464433331</v>
      </c>
      <c r="O13" s="28">
        <f t="shared" si="7"/>
        <v>89067.245964433328</v>
      </c>
      <c r="P13" s="132">
        <f t="shared" si="8"/>
        <v>118.75632795257778</v>
      </c>
      <c r="T13" s="55"/>
    </row>
    <row r="14" spans="1:20" s="5" customFormat="1">
      <c r="A14" s="12" t="s">
        <v>58</v>
      </c>
      <c r="B14" s="12" t="s">
        <v>14</v>
      </c>
      <c r="C14" s="12" t="s">
        <v>23</v>
      </c>
      <c r="D14" s="15">
        <v>28336.44</v>
      </c>
      <c r="E14" s="15">
        <v>19892.14</v>
      </c>
      <c r="F14" s="15">
        <v>11043.41</v>
      </c>
      <c r="G14" s="15">
        <v>0</v>
      </c>
      <c r="H14" s="15">
        <f t="shared" si="0"/>
        <v>4019.0483333333336</v>
      </c>
      <c r="I14" s="15">
        <f t="shared" si="1"/>
        <v>920.28416666666669</v>
      </c>
      <c r="J14" s="14">
        <f t="shared" si="4"/>
        <v>64211.322500000002</v>
      </c>
      <c r="K14" s="15">
        <f t="shared" si="2"/>
        <v>5457.9624125000009</v>
      </c>
      <c r="L14" s="15">
        <f t="shared" si="5"/>
        <v>17639.976989800001</v>
      </c>
      <c r="M14" s="15">
        <f t="shared" si="3"/>
        <v>3375.3879865333329</v>
      </c>
      <c r="N14" s="14">
        <f t="shared" si="6"/>
        <v>26473.327388833335</v>
      </c>
      <c r="O14" s="28">
        <f t="shared" si="7"/>
        <v>90684.649888833344</v>
      </c>
      <c r="P14" s="132">
        <f t="shared" si="8"/>
        <v>120.91286651844446</v>
      </c>
      <c r="T14" s="55"/>
    </row>
    <row r="15" spans="1:20" s="5" customFormat="1">
      <c r="A15" s="12" t="s">
        <v>58</v>
      </c>
      <c r="B15" s="12" t="s">
        <v>14</v>
      </c>
      <c r="C15" s="12" t="s">
        <v>24</v>
      </c>
      <c r="D15" s="15">
        <v>28336.44</v>
      </c>
      <c r="E15" s="15">
        <v>21989.03</v>
      </c>
      <c r="F15" s="15">
        <v>11043.41</v>
      </c>
      <c r="G15" s="15">
        <v>0</v>
      </c>
      <c r="H15" s="15">
        <f t="shared" si="0"/>
        <v>4193.7891666666665</v>
      </c>
      <c r="I15" s="15">
        <f t="shared" si="1"/>
        <v>920.28416666666669</v>
      </c>
      <c r="J15" s="14">
        <f t="shared" si="4"/>
        <v>66482.953333333338</v>
      </c>
      <c r="K15" s="15">
        <f t="shared" si="2"/>
        <v>5651.0510333333341</v>
      </c>
      <c r="L15" s="15">
        <f t="shared" si="5"/>
        <v>18281.05217986667</v>
      </c>
      <c r="M15" s="15">
        <f t="shared" si="3"/>
        <v>3504.4166178666665</v>
      </c>
      <c r="N15" s="14">
        <f t="shared" si="6"/>
        <v>27436.519831066671</v>
      </c>
      <c r="O15" s="28">
        <f t="shared" si="7"/>
        <v>93919.473164400013</v>
      </c>
      <c r="P15" s="132">
        <f t="shared" si="8"/>
        <v>125.22596421920002</v>
      </c>
      <c r="T15" s="55"/>
    </row>
    <row r="16" spans="1:20" s="5" customFormat="1">
      <c r="A16" s="12" t="s">
        <v>58</v>
      </c>
      <c r="B16" s="12" t="s">
        <v>14</v>
      </c>
      <c r="C16" s="12" t="s">
        <v>25</v>
      </c>
      <c r="D16" s="15">
        <v>28336.44</v>
      </c>
      <c r="E16" s="15">
        <v>23037.46</v>
      </c>
      <c r="F16" s="15">
        <v>11043.41</v>
      </c>
      <c r="G16" s="15">
        <v>0</v>
      </c>
      <c r="H16" s="15">
        <f t="shared" si="0"/>
        <v>4281.1583333333328</v>
      </c>
      <c r="I16" s="15">
        <f t="shared" si="1"/>
        <v>920.28416666666669</v>
      </c>
      <c r="J16" s="14">
        <f t="shared" si="4"/>
        <v>67618.752499999988</v>
      </c>
      <c r="K16" s="15">
        <f t="shared" si="2"/>
        <v>5747.5939624999992</v>
      </c>
      <c r="L16" s="15">
        <f t="shared" si="5"/>
        <v>18601.585188999998</v>
      </c>
      <c r="M16" s="15">
        <f t="shared" si="3"/>
        <v>3568.9300105333327</v>
      </c>
      <c r="N16" s="14">
        <f t="shared" si="6"/>
        <v>27918.109162033328</v>
      </c>
      <c r="O16" s="28">
        <f t="shared" si="7"/>
        <v>95536.86166203332</v>
      </c>
      <c r="P16" s="132">
        <f t="shared" si="8"/>
        <v>127.38248221604442</v>
      </c>
      <c r="T16" s="55"/>
    </row>
    <row r="17" spans="1:20" s="5" customFormat="1">
      <c r="A17" s="12" t="s">
        <v>58</v>
      </c>
      <c r="B17" s="12" t="s">
        <v>14</v>
      </c>
      <c r="C17" s="12" t="s">
        <v>26</v>
      </c>
      <c r="D17" s="15">
        <v>28336.44</v>
      </c>
      <c r="E17" s="15">
        <v>25134.34</v>
      </c>
      <c r="F17" s="15">
        <v>11043.41</v>
      </c>
      <c r="G17" s="15">
        <v>0</v>
      </c>
      <c r="H17" s="15">
        <f t="shared" si="0"/>
        <v>4455.8983333333335</v>
      </c>
      <c r="I17" s="15">
        <f t="shared" si="1"/>
        <v>920.28416666666669</v>
      </c>
      <c r="J17" s="14">
        <f t="shared" si="4"/>
        <v>69890.372499999998</v>
      </c>
      <c r="K17" s="15">
        <f t="shared" si="2"/>
        <v>5940.6816625000001</v>
      </c>
      <c r="L17" s="15">
        <f t="shared" si="5"/>
        <v>19242.657321799998</v>
      </c>
      <c r="M17" s="15">
        <f t="shared" si="3"/>
        <v>3697.9580265333329</v>
      </c>
      <c r="N17" s="14">
        <f t="shared" si="6"/>
        <v>28881.297010833328</v>
      </c>
      <c r="O17" s="28">
        <f t="shared" si="7"/>
        <v>98771.669510833322</v>
      </c>
      <c r="P17" s="132">
        <f t="shared" si="8"/>
        <v>131.69555934777776</v>
      </c>
      <c r="T17" s="55"/>
    </row>
    <row r="18" spans="1:20" s="5" customFormat="1">
      <c r="A18" s="12" t="s">
        <v>58</v>
      </c>
      <c r="B18" s="12" t="s">
        <v>14</v>
      </c>
      <c r="C18" s="12" t="s">
        <v>27</v>
      </c>
      <c r="D18" s="15">
        <v>28336.44</v>
      </c>
      <c r="E18" s="15">
        <v>26182.78</v>
      </c>
      <c r="F18" s="15">
        <v>11043.41</v>
      </c>
      <c r="G18" s="15">
        <v>0</v>
      </c>
      <c r="H18" s="15">
        <f t="shared" si="0"/>
        <v>4543.2683333333334</v>
      </c>
      <c r="I18" s="15">
        <f t="shared" si="1"/>
        <v>920.28416666666669</v>
      </c>
      <c r="J18" s="14">
        <f t="shared" si="4"/>
        <v>71026.18250000001</v>
      </c>
      <c r="K18" s="15">
        <f t="shared" si="2"/>
        <v>6037.2255125000011</v>
      </c>
      <c r="L18" s="15">
        <f t="shared" si="5"/>
        <v>19563.193388200001</v>
      </c>
      <c r="M18" s="15">
        <f t="shared" si="3"/>
        <v>3762.4720345333335</v>
      </c>
      <c r="N18" s="14">
        <f t="shared" si="6"/>
        <v>29362.890935233336</v>
      </c>
      <c r="O18" s="28">
        <f t="shared" si="7"/>
        <v>100389.07343523335</v>
      </c>
      <c r="P18" s="132">
        <f t="shared" si="8"/>
        <v>133.85209791364446</v>
      </c>
      <c r="T18" s="55"/>
    </row>
    <row r="19" spans="1:20" s="5" customFormat="1">
      <c r="A19" s="12" t="s">
        <v>58</v>
      </c>
      <c r="B19" s="12" t="s">
        <v>14</v>
      </c>
      <c r="C19" s="12" t="s">
        <v>28</v>
      </c>
      <c r="D19" s="15">
        <v>28336.44</v>
      </c>
      <c r="E19" s="15">
        <v>28279.66</v>
      </c>
      <c r="F19" s="15">
        <v>11043.41</v>
      </c>
      <c r="G19" s="15">
        <v>0</v>
      </c>
      <c r="H19" s="15">
        <f t="shared" si="0"/>
        <v>4718.0083333333332</v>
      </c>
      <c r="I19" s="15">
        <f t="shared" si="1"/>
        <v>920.28416666666669</v>
      </c>
      <c r="J19" s="14">
        <f t="shared" si="4"/>
        <v>73297.802499999991</v>
      </c>
      <c r="K19" s="15">
        <f t="shared" si="2"/>
        <v>6230.3132124999993</v>
      </c>
      <c r="L19" s="15">
        <f t="shared" si="5"/>
        <v>20204.265520999994</v>
      </c>
      <c r="M19" s="15">
        <f t="shared" si="3"/>
        <v>3891.5000505333328</v>
      </c>
      <c r="N19" s="14">
        <f t="shared" si="6"/>
        <v>30326.078784033325</v>
      </c>
      <c r="O19" s="28">
        <f t="shared" si="7"/>
        <v>103623.88128403331</v>
      </c>
      <c r="P19" s="132">
        <f t="shared" si="8"/>
        <v>138.16517504537774</v>
      </c>
      <c r="T19" s="55"/>
    </row>
    <row r="20" spans="1:20" s="5" customFormat="1">
      <c r="A20" s="12" t="s">
        <v>58</v>
      </c>
      <c r="B20" s="12" t="s">
        <v>14</v>
      </c>
      <c r="C20" s="12" t="s">
        <v>29</v>
      </c>
      <c r="D20" s="15">
        <v>28336.44</v>
      </c>
      <c r="E20" s="15">
        <v>2266.9299999999998</v>
      </c>
      <c r="F20" s="15">
        <v>11043.41</v>
      </c>
      <c r="G20" s="15">
        <v>0</v>
      </c>
      <c r="H20" s="15">
        <f t="shared" si="0"/>
        <v>2550.2808333333332</v>
      </c>
      <c r="I20" s="15">
        <f t="shared" si="1"/>
        <v>920.28416666666669</v>
      </c>
      <c r="J20" s="14">
        <f t="shared" si="4"/>
        <v>45117.344999999994</v>
      </c>
      <c r="K20" s="15">
        <f t="shared" si="2"/>
        <v>3834.9743249999997</v>
      </c>
      <c r="L20" s="15">
        <f t="shared" si="5"/>
        <v>12251.480287199998</v>
      </c>
      <c r="M20" s="15">
        <f t="shared" si="3"/>
        <v>2290.8500645333334</v>
      </c>
      <c r="N20" s="14">
        <f t="shared" si="6"/>
        <v>18377.304676733329</v>
      </c>
      <c r="O20" s="28">
        <f t="shared" si="7"/>
        <v>63494.649676733323</v>
      </c>
      <c r="P20" s="132">
        <f t="shared" si="8"/>
        <v>84.659532902311099</v>
      </c>
      <c r="T20" s="55"/>
    </row>
    <row r="21" spans="1:20" s="5" customFormat="1">
      <c r="A21" s="12" t="s">
        <v>58</v>
      </c>
      <c r="B21" s="12" t="s">
        <v>14</v>
      </c>
      <c r="C21" s="12" t="s">
        <v>30</v>
      </c>
      <c r="D21" s="15">
        <v>28336.44</v>
      </c>
      <c r="E21" s="15">
        <v>9067.67</v>
      </c>
      <c r="F21" s="15">
        <v>11043.41</v>
      </c>
      <c r="G21" s="15">
        <v>0</v>
      </c>
      <c r="H21" s="15">
        <f t="shared" si="0"/>
        <v>3117.0091666666667</v>
      </c>
      <c r="I21" s="15">
        <f t="shared" si="1"/>
        <v>920.28416666666669</v>
      </c>
      <c r="J21" s="14">
        <f t="shared" si="4"/>
        <v>52484.813333333339</v>
      </c>
      <c r="K21" s="15">
        <f t="shared" si="2"/>
        <v>4461.2091333333337</v>
      </c>
      <c r="L21" s="15">
        <f t="shared" si="5"/>
        <v>14330.647858266668</v>
      </c>
      <c r="M21" s="15">
        <f t="shared" si="3"/>
        <v>2709.3222658666673</v>
      </c>
      <c r="N21" s="14">
        <f t="shared" si="6"/>
        <v>21501.179257466669</v>
      </c>
      <c r="O21" s="28">
        <f t="shared" si="7"/>
        <v>73985.992590800015</v>
      </c>
      <c r="P21" s="132">
        <f t="shared" si="8"/>
        <v>98.647990121066684</v>
      </c>
      <c r="T21" s="55"/>
    </row>
    <row r="22" spans="1:20" s="5" customFormat="1">
      <c r="A22" s="12" t="s">
        <v>58</v>
      </c>
      <c r="B22" s="12" t="s">
        <v>14</v>
      </c>
      <c r="C22" s="12" t="s">
        <v>31</v>
      </c>
      <c r="D22" s="15">
        <v>28336.44</v>
      </c>
      <c r="E22" s="15">
        <v>14649.94</v>
      </c>
      <c r="F22" s="15">
        <v>11043.41</v>
      </c>
      <c r="G22" s="15">
        <v>0</v>
      </c>
      <c r="H22" s="15">
        <f t="shared" si="0"/>
        <v>3582.1983333333333</v>
      </c>
      <c r="I22" s="15">
        <f t="shared" si="1"/>
        <v>920.28416666666669</v>
      </c>
      <c r="J22" s="14">
        <f t="shared" si="4"/>
        <v>58532.272499999992</v>
      </c>
      <c r="K22" s="15">
        <f t="shared" si="2"/>
        <v>4975.2431624999999</v>
      </c>
      <c r="L22" s="15">
        <f t="shared" si="5"/>
        <v>16037.296657799998</v>
      </c>
      <c r="M22" s="15">
        <f t="shared" si="3"/>
        <v>3052.8179465333328</v>
      </c>
      <c r="N22" s="14">
        <f t="shared" si="6"/>
        <v>24065.357766833331</v>
      </c>
      <c r="O22" s="28">
        <f t="shared" si="7"/>
        <v>82597.630266833323</v>
      </c>
      <c r="P22" s="132">
        <f t="shared" si="8"/>
        <v>110.1301736891111</v>
      </c>
      <c r="T22" s="55"/>
    </row>
    <row r="23" spans="1:20" s="5" customFormat="1">
      <c r="A23" s="12" t="s">
        <v>58</v>
      </c>
      <c r="B23" s="12" t="s">
        <v>14</v>
      </c>
      <c r="C23" s="12" t="s">
        <v>32</v>
      </c>
      <c r="D23" s="15">
        <v>28336.44</v>
      </c>
      <c r="E23" s="15">
        <v>17795.259999999998</v>
      </c>
      <c r="F23" s="15">
        <v>11043.41</v>
      </c>
      <c r="G23" s="15">
        <v>0</v>
      </c>
      <c r="H23" s="15">
        <f t="shared" si="0"/>
        <v>3844.3083333333329</v>
      </c>
      <c r="I23" s="15">
        <f t="shared" si="1"/>
        <v>920.28416666666669</v>
      </c>
      <c r="J23" s="14">
        <f t="shared" si="4"/>
        <v>61939.702499999999</v>
      </c>
      <c r="K23" s="15">
        <f t="shared" si="2"/>
        <v>5264.8747125</v>
      </c>
      <c r="L23" s="15">
        <f t="shared" si="5"/>
        <v>16998.904856999998</v>
      </c>
      <c r="M23" s="15">
        <f t="shared" si="3"/>
        <v>3246.3599705333336</v>
      </c>
      <c r="N23" s="14">
        <f t="shared" si="6"/>
        <v>25510.139540033331</v>
      </c>
      <c r="O23" s="28">
        <f t="shared" si="7"/>
        <v>87449.842040033327</v>
      </c>
      <c r="P23" s="132">
        <f t="shared" si="8"/>
        <v>116.59978938671111</v>
      </c>
      <c r="T23" s="55"/>
    </row>
    <row r="24" spans="1:20" s="5" customFormat="1">
      <c r="A24" s="12" t="s">
        <v>58</v>
      </c>
      <c r="B24" s="12" t="s">
        <v>14</v>
      </c>
      <c r="C24" s="12" t="s">
        <v>33</v>
      </c>
      <c r="D24" s="15">
        <v>28336.44</v>
      </c>
      <c r="E24" s="15">
        <v>20940.580000000002</v>
      </c>
      <c r="F24" s="15">
        <v>11043.41</v>
      </c>
      <c r="G24" s="15">
        <v>0</v>
      </c>
      <c r="H24" s="15">
        <f t="shared" si="0"/>
        <v>4106.418333333334</v>
      </c>
      <c r="I24" s="15">
        <f t="shared" si="1"/>
        <v>920.28416666666669</v>
      </c>
      <c r="J24" s="14">
        <f t="shared" si="4"/>
        <v>65347.132500000007</v>
      </c>
      <c r="K24" s="15">
        <f t="shared" si="2"/>
        <v>5554.506262500001</v>
      </c>
      <c r="L24" s="15">
        <f t="shared" si="5"/>
        <v>17960.513056200001</v>
      </c>
      <c r="M24" s="15">
        <f t="shared" si="3"/>
        <v>3439.9019945333334</v>
      </c>
      <c r="N24" s="14">
        <f t="shared" si="6"/>
        <v>26954.921313233339</v>
      </c>
      <c r="O24" s="28">
        <f t="shared" si="7"/>
        <v>92302.053813233346</v>
      </c>
      <c r="P24" s="132">
        <f t="shared" si="8"/>
        <v>123.06940508431113</v>
      </c>
      <c r="T24" s="55"/>
    </row>
    <row r="25" spans="1:20" s="5" customFormat="1">
      <c r="A25" s="12" t="s">
        <v>58</v>
      </c>
      <c r="B25" s="12" t="s">
        <v>14</v>
      </c>
      <c r="C25" s="12" t="s">
        <v>34</v>
      </c>
      <c r="D25" s="15">
        <v>28336.44</v>
      </c>
      <c r="E25" s="15">
        <v>24085.89</v>
      </c>
      <c r="F25" s="15">
        <v>11043.41</v>
      </c>
      <c r="G25" s="15">
        <v>0</v>
      </c>
      <c r="H25" s="15">
        <f t="shared" si="0"/>
        <v>4368.5275000000001</v>
      </c>
      <c r="I25" s="15">
        <f t="shared" si="1"/>
        <v>920.28416666666669</v>
      </c>
      <c r="J25" s="14">
        <f t="shared" si="4"/>
        <v>68754.551666666666</v>
      </c>
      <c r="K25" s="15">
        <f t="shared" si="2"/>
        <v>5844.136891666667</v>
      </c>
      <c r="L25" s="15">
        <f t="shared" si="5"/>
        <v>18922.118198133332</v>
      </c>
      <c r="M25" s="15">
        <f t="shared" si="3"/>
        <v>3633.4434031999995</v>
      </c>
      <c r="N25" s="14">
        <f t="shared" si="6"/>
        <v>28399.698492999996</v>
      </c>
      <c r="O25" s="28">
        <f t="shared" si="7"/>
        <v>97154.25015966667</v>
      </c>
      <c r="P25" s="132">
        <f t="shared" si="8"/>
        <v>129.53900021288888</v>
      </c>
      <c r="T25" s="55"/>
    </row>
    <row r="26" spans="1:20" s="5" customFormat="1">
      <c r="A26" s="12" t="s">
        <v>58</v>
      </c>
      <c r="B26" s="12" t="s">
        <v>14</v>
      </c>
      <c r="C26" s="12" t="s">
        <v>35</v>
      </c>
      <c r="D26" s="15">
        <v>28336.44</v>
      </c>
      <c r="E26" s="15">
        <v>27231.22</v>
      </c>
      <c r="F26" s="15">
        <v>11043.41</v>
      </c>
      <c r="G26" s="15">
        <v>0</v>
      </c>
      <c r="H26" s="15">
        <f t="shared" si="0"/>
        <v>4630.6383333333333</v>
      </c>
      <c r="I26" s="15">
        <f t="shared" si="1"/>
        <v>920.28416666666669</v>
      </c>
      <c r="J26" s="14">
        <f t="shared" si="4"/>
        <v>72161.992500000008</v>
      </c>
      <c r="K26" s="15">
        <f t="shared" si="2"/>
        <v>6133.7693625000011</v>
      </c>
      <c r="L26" s="15">
        <f t="shared" si="5"/>
        <v>19883.729454600001</v>
      </c>
      <c r="M26" s="15">
        <f t="shared" si="3"/>
        <v>3826.9860425333341</v>
      </c>
      <c r="N26" s="14">
        <f t="shared" si="6"/>
        <v>29844.484859633336</v>
      </c>
      <c r="O26" s="28">
        <f t="shared" si="7"/>
        <v>102006.47735963334</v>
      </c>
      <c r="P26" s="132">
        <f t="shared" si="8"/>
        <v>136.00863647951113</v>
      </c>
      <c r="T26" s="55"/>
    </row>
    <row r="27" spans="1:20" s="5" customFormat="1">
      <c r="A27" s="12" t="s">
        <v>58</v>
      </c>
      <c r="B27" s="12" t="s">
        <v>14</v>
      </c>
      <c r="C27" s="12" t="s">
        <v>36</v>
      </c>
      <c r="D27" s="15">
        <v>28336.44</v>
      </c>
      <c r="E27" s="15">
        <v>2266.9299999999998</v>
      </c>
      <c r="F27" s="15">
        <v>11043.41</v>
      </c>
      <c r="G27" s="15">
        <v>0</v>
      </c>
      <c r="H27" s="15">
        <f t="shared" si="0"/>
        <v>2550.2808333333332</v>
      </c>
      <c r="I27" s="15">
        <f t="shared" si="1"/>
        <v>920.28416666666669</v>
      </c>
      <c r="J27" s="14">
        <f t="shared" si="4"/>
        <v>45117.344999999994</v>
      </c>
      <c r="K27" s="15">
        <f t="shared" si="2"/>
        <v>3834.9743249999997</v>
      </c>
      <c r="L27" s="15">
        <f t="shared" si="5"/>
        <v>12251.480287199998</v>
      </c>
      <c r="M27" s="15">
        <f t="shared" si="3"/>
        <v>2290.8500645333334</v>
      </c>
      <c r="N27" s="14">
        <f t="shared" si="6"/>
        <v>18377.304676733329</v>
      </c>
      <c r="O27" s="28">
        <f t="shared" si="7"/>
        <v>63494.649676733323</v>
      </c>
      <c r="P27" s="132">
        <f t="shared" si="8"/>
        <v>84.659532902311099</v>
      </c>
      <c r="T27" s="55"/>
    </row>
    <row r="28" spans="1:20" s="5" customFormat="1">
      <c r="A28" s="12" t="s">
        <v>58</v>
      </c>
      <c r="B28" s="12" t="s">
        <v>14</v>
      </c>
      <c r="C28" s="12" t="s">
        <v>37</v>
      </c>
      <c r="D28" s="15">
        <v>28336.44</v>
      </c>
      <c r="E28" s="15">
        <v>9067.67</v>
      </c>
      <c r="F28" s="15">
        <v>11043.41</v>
      </c>
      <c r="G28" s="15">
        <v>0</v>
      </c>
      <c r="H28" s="15">
        <f t="shared" si="0"/>
        <v>3117.0091666666667</v>
      </c>
      <c r="I28" s="15">
        <f t="shared" si="1"/>
        <v>920.28416666666669</v>
      </c>
      <c r="J28" s="14">
        <f t="shared" si="4"/>
        <v>52484.813333333339</v>
      </c>
      <c r="K28" s="15">
        <f t="shared" si="2"/>
        <v>4461.2091333333337</v>
      </c>
      <c r="L28" s="15">
        <f t="shared" si="5"/>
        <v>14330.647858266668</v>
      </c>
      <c r="M28" s="15">
        <f t="shared" si="3"/>
        <v>2709.3222658666673</v>
      </c>
      <c r="N28" s="14">
        <f t="shared" si="6"/>
        <v>21501.179257466669</v>
      </c>
      <c r="O28" s="28">
        <f t="shared" si="7"/>
        <v>73985.992590800015</v>
      </c>
      <c r="P28" s="132">
        <f t="shared" si="8"/>
        <v>98.647990121066684</v>
      </c>
      <c r="T28" s="55"/>
    </row>
    <row r="29" spans="1:20" s="5" customFormat="1">
      <c r="A29" s="12" t="s">
        <v>58</v>
      </c>
      <c r="B29" s="12" t="s">
        <v>14</v>
      </c>
      <c r="C29" s="12" t="s">
        <v>38</v>
      </c>
      <c r="D29" s="15">
        <v>28336.44</v>
      </c>
      <c r="E29" s="15">
        <v>14649.94</v>
      </c>
      <c r="F29" s="15">
        <v>11043.41</v>
      </c>
      <c r="G29" s="15">
        <v>0</v>
      </c>
      <c r="H29" s="15">
        <f t="shared" si="0"/>
        <v>3582.1983333333333</v>
      </c>
      <c r="I29" s="15">
        <f t="shared" si="1"/>
        <v>920.28416666666669</v>
      </c>
      <c r="J29" s="14">
        <f t="shared" si="4"/>
        <v>58532.272499999992</v>
      </c>
      <c r="K29" s="15">
        <f t="shared" si="2"/>
        <v>4975.2431624999999</v>
      </c>
      <c r="L29" s="15">
        <f t="shared" si="5"/>
        <v>16037.296657799998</v>
      </c>
      <c r="M29" s="15">
        <f t="shared" si="3"/>
        <v>3052.8179465333328</v>
      </c>
      <c r="N29" s="14">
        <f t="shared" si="6"/>
        <v>24065.357766833331</v>
      </c>
      <c r="O29" s="28">
        <f t="shared" si="7"/>
        <v>82597.630266833323</v>
      </c>
      <c r="P29" s="132">
        <f t="shared" si="8"/>
        <v>110.1301736891111</v>
      </c>
      <c r="T29" s="55"/>
    </row>
    <row r="30" spans="1:20" s="5" customFormat="1">
      <c r="A30" s="12" t="s">
        <v>58</v>
      </c>
      <c r="B30" s="12" t="s">
        <v>14</v>
      </c>
      <c r="C30" s="12" t="s">
        <v>39</v>
      </c>
      <c r="D30" s="15">
        <v>28336.44</v>
      </c>
      <c r="E30" s="15">
        <v>17795.259999999998</v>
      </c>
      <c r="F30" s="15">
        <v>11043.41</v>
      </c>
      <c r="G30" s="15">
        <v>0</v>
      </c>
      <c r="H30" s="15">
        <f t="shared" si="0"/>
        <v>3844.3083333333329</v>
      </c>
      <c r="I30" s="15">
        <f t="shared" si="1"/>
        <v>920.28416666666669</v>
      </c>
      <c r="J30" s="14">
        <f t="shared" si="4"/>
        <v>61939.702499999999</v>
      </c>
      <c r="K30" s="15">
        <f t="shared" si="2"/>
        <v>5264.8747125</v>
      </c>
      <c r="L30" s="15">
        <f t="shared" si="5"/>
        <v>16998.904856999998</v>
      </c>
      <c r="M30" s="15">
        <f t="shared" si="3"/>
        <v>3246.3599705333336</v>
      </c>
      <c r="N30" s="14">
        <f t="shared" si="6"/>
        <v>25510.139540033331</v>
      </c>
      <c r="O30" s="28">
        <f t="shared" si="7"/>
        <v>87449.842040033327</v>
      </c>
      <c r="P30" s="132">
        <f t="shared" si="8"/>
        <v>116.59978938671111</v>
      </c>
      <c r="T30" s="55"/>
    </row>
    <row r="31" spans="1:20" s="5" customFormat="1">
      <c r="A31" s="12" t="s">
        <v>58</v>
      </c>
      <c r="B31" s="12" t="s">
        <v>14</v>
      </c>
      <c r="C31" s="12" t="s">
        <v>40</v>
      </c>
      <c r="D31" s="15">
        <v>28336.44</v>
      </c>
      <c r="E31" s="15">
        <v>20940.580000000002</v>
      </c>
      <c r="F31" s="15">
        <v>11043.41</v>
      </c>
      <c r="G31" s="15">
        <v>0</v>
      </c>
      <c r="H31" s="15">
        <f t="shared" si="0"/>
        <v>4106.418333333334</v>
      </c>
      <c r="I31" s="15">
        <f t="shared" si="1"/>
        <v>920.28416666666669</v>
      </c>
      <c r="J31" s="14">
        <f t="shared" si="4"/>
        <v>65347.132500000007</v>
      </c>
      <c r="K31" s="15">
        <f t="shared" si="2"/>
        <v>5554.506262500001</v>
      </c>
      <c r="L31" s="15">
        <f t="shared" si="5"/>
        <v>17960.513056200001</v>
      </c>
      <c r="M31" s="15">
        <f t="shared" si="3"/>
        <v>3439.9019945333334</v>
      </c>
      <c r="N31" s="14">
        <f t="shared" si="6"/>
        <v>26954.921313233339</v>
      </c>
      <c r="O31" s="28">
        <f t="shared" si="7"/>
        <v>92302.053813233346</v>
      </c>
      <c r="P31" s="132">
        <f t="shared" si="8"/>
        <v>123.06940508431113</v>
      </c>
      <c r="T31" s="55"/>
    </row>
    <row r="32" spans="1:20" s="5" customFormat="1">
      <c r="A32" s="12" t="s">
        <v>58</v>
      </c>
      <c r="B32" s="12" t="s">
        <v>14</v>
      </c>
      <c r="C32" s="12" t="s">
        <v>41</v>
      </c>
      <c r="D32" s="15">
        <v>28336.44</v>
      </c>
      <c r="E32" s="15">
        <v>24085.89</v>
      </c>
      <c r="F32" s="15">
        <v>11043.41</v>
      </c>
      <c r="G32" s="15">
        <v>0</v>
      </c>
      <c r="H32" s="15">
        <f t="shared" si="0"/>
        <v>4368.5275000000001</v>
      </c>
      <c r="I32" s="15">
        <f t="shared" si="1"/>
        <v>920.28416666666669</v>
      </c>
      <c r="J32" s="14">
        <f t="shared" si="4"/>
        <v>68754.551666666666</v>
      </c>
      <c r="K32" s="15">
        <f t="shared" si="2"/>
        <v>5844.136891666667</v>
      </c>
      <c r="L32" s="15">
        <f t="shared" si="5"/>
        <v>18922.118198133332</v>
      </c>
      <c r="M32" s="15">
        <f t="shared" si="3"/>
        <v>3633.4434031999995</v>
      </c>
      <c r="N32" s="14">
        <f t="shared" si="6"/>
        <v>28399.698492999996</v>
      </c>
      <c r="O32" s="28">
        <f t="shared" si="7"/>
        <v>97154.25015966667</v>
      </c>
      <c r="P32" s="132">
        <f t="shared" si="8"/>
        <v>129.53900021288888</v>
      </c>
      <c r="T32" s="55"/>
    </row>
    <row r="33" spans="1:25" s="5" customFormat="1">
      <c r="A33" s="12" t="s">
        <v>58</v>
      </c>
      <c r="B33" s="12" t="s">
        <v>14</v>
      </c>
      <c r="C33" s="12" t="s">
        <v>42</v>
      </c>
      <c r="D33" s="15">
        <v>28336.44</v>
      </c>
      <c r="E33" s="15">
        <v>27231.22</v>
      </c>
      <c r="F33" s="15">
        <v>11043.41</v>
      </c>
      <c r="G33" s="15">
        <v>0</v>
      </c>
      <c r="H33" s="15">
        <f t="shared" si="0"/>
        <v>4630.6383333333333</v>
      </c>
      <c r="I33" s="15">
        <f t="shared" si="1"/>
        <v>920.28416666666669</v>
      </c>
      <c r="J33" s="14">
        <f t="shared" si="4"/>
        <v>72161.992500000008</v>
      </c>
      <c r="K33" s="15">
        <f t="shared" si="2"/>
        <v>6133.7693625000011</v>
      </c>
      <c r="L33" s="15">
        <f t="shared" si="5"/>
        <v>19883.729454600001</v>
      </c>
      <c r="M33" s="15">
        <f t="shared" si="3"/>
        <v>3826.9860425333341</v>
      </c>
      <c r="N33" s="14">
        <f t="shared" si="6"/>
        <v>29844.484859633336</v>
      </c>
      <c r="O33" s="28">
        <f t="shared" si="7"/>
        <v>102006.47735963334</v>
      </c>
      <c r="P33" s="132">
        <f t="shared" si="8"/>
        <v>136.00863647951113</v>
      </c>
      <c r="T33" s="55"/>
    </row>
    <row r="34" spans="1:25" customFormat="1" ht="20.149999999999999" customHeight="1">
      <c r="A34" s="51"/>
      <c r="B34" s="52"/>
      <c r="C34" s="51"/>
      <c r="D34" s="52"/>
      <c r="E34" s="52"/>
      <c r="F34" s="52"/>
      <c r="G34" s="53"/>
      <c r="H34" s="54"/>
      <c r="I34" s="54"/>
      <c r="J34" s="54"/>
      <c r="K34" s="54"/>
      <c r="L34" s="54"/>
      <c r="M34" s="54"/>
      <c r="N34" s="54"/>
      <c r="O34" s="131"/>
      <c r="P34" s="133"/>
      <c r="Q34" s="58"/>
      <c r="R34" s="58"/>
      <c r="S34" s="58"/>
      <c r="T34" s="59"/>
      <c r="W34" s="49"/>
      <c r="X34" s="49"/>
      <c r="Y34" s="50"/>
    </row>
    <row r="35" spans="1:25" s="5" customFormat="1">
      <c r="A35" s="12" t="s">
        <v>58</v>
      </c>
      <c r="B35" s="12" t="s">
        <v>43</v>
      </c>
      <c r="C35" s="12" t="s">
        <v>15</v>
      </c>
      <c r="D35" s="16">
        <v>39141.53</v>
      </c>
      <c r="E35" s="16">
        <v>0</v>
      </c>
      <c r="F35" s="16">
        <v>11786.91</v>
      </c>
      <c r="G35" s="16">
        <v>8333.56</v>
      </c>
      <c r="H35" s="16">
        <f>(D35+E35)/12</f>
        <v>3261.7941666666666</v>
      </c>
      <c r="I35" s="16">
        <f>F35/12</f>
        <v>982.24249999999995</v>
      </c>
      <c r="J35" s="57">
        <f>D35+E35+F35+G35+H35+I35</f>
        <v>63506.036666666667</v>
      </c>
      <c r="K35" s="16">
        <f t="shared" ref="K35:K63" si="9">J35*0.085</f>
        <v>5398.013116666667</v>
      </c>
      <c r="L35" s="16">
        <f t="shared" ref="L35:L46" si="10">J35/100*24.2</f>
        <v>15368.460873333333</v>
      </c>
      <c r="M35" s="16">
        <f t="shared" ref="M35:M63" si="11">(((D35+E35+H35)/100*80)+((F35+I35)/100*48))/100*7.1</f>
        <v>2843.6815298666661</v>
      </c>
      <c r="N35" s="57">
        <f t="shared" ref="N35:N63" si="12">K35+L35+M35</f>
        <v>23610.155519866665</v>
      </c>
      <c r="O35" s="29">
        <f t="shared" ref="O35:O63" si="13">J35+N35</f>
        <v>87116.192186533328</v>
      </c>
      <c r="P35" s="132">
        <f>O35/1500</f>
        <v>58.077461457688884</v>
      </c>
      <c r="T35" s="55"/>
    </row>
    <row r="36" spans="1:25" s="5" customFormat="1">
      <c r="A36" s="12" t="s">
        <v>58</v>
      </c>
      <c r="B36" s="12" t="s">
        <v>43</v>
      </c>
      <c r="C36" s="12" t="s">
        <v>16</v>
      </c>
      <c r="D36" s="16">
        <v>39141.53</v>
      </c>
      <c r="E36" s="16">
        <v>6262.64</v>
      </c>
      <c r="F36" s="16">
        <v>11786.91</v>
      </c>
      <c r="G36" s="16">
        <v>9722.49</v>
      </c>
      <c r="H36" s="16">
        <f t="shared" ref="H36:H41" si="14">(D36+E36)/12</f>
        <v>3783.6808333333333</v>
      </c>
      <c r="I36" s="16">
        <f t="shared" ref="I36:I63" si="15">F36/12</f>
        <v>982.24249999999995</v>
      </c>
      <c r="J36" s="57">
        <f t="shared" ref="J36:J63" si="16">D36+E36+F36+G36+H36+I36</f>
        <v>71679.493333333332</v>
      </c>
      <c r="K36" s="16">
        <f t="shared" si="9"/>
        <v>6092.756933333334</v>
      </c>
      <c r="L36" s="16">
        <f t="shared" si="10"/>
        <v>17346.437386666665</v>
      </c>
      <c r="M36" s="16">
        <f t="shared" si="11"/>
        <v>3229.0426445333333</v>
      </c>
      <c r="N36" s="57">
        <f t="shared" si="12"/>
        <v>26668.236964533331</v>
      </c>
      <c r="O36" s="29">
        <f t="shared" si="13"/>
        <v>98347.730297866656</v>
      </c>
      <c r="P36" s="132">
        <f t="shared" ref="P36:P63" si="17">O36/1500</f>
        <v>65.565153531911108</v>
      </c>
      <c r="T36" s="55"/>
    </row>
    <row r="37" spans="1:25" s="5" customFormat="1">
      <c r="A37" s="12" t="s">
        <v>58</v>
      </c>
      <c r="B37" s="12" t="s">
        <v>43</v>
      </c>
      <c r="C37" s="12" t="s">
        <v>17</v>
      </c>
      <c r="D37" s="16">
        <v>39141.53</v>
      </c>
      <c r="E37" s="16">
        <v>9393.9599999999991</v>
      </c>
      <c r="F37" s="16">
        <v>11786.91</v>
      </c>
      <c r="G37" s="16">
        <v>11111.44</v>
      </c>
      <c r="H37" s="16">
        <f t="shared" si="14"/>
        <v>4044.6241666666665</v>
      </c>
      <c r="I37" s="16">
        <f t="shared" si="15"/>
        <v>982.24249999999995</v>
      </c>
      <c r="J37" s="57">
        <f t="shared" si="16"/>
        <v>76460.706666666651</v>
      </c>
      <c r="K37" s="16">
        <f t="shared" si="9"/>
        <v>6499.1600666666654</v>
      </c>
      <c r="L37" s="16">
        <f t="shared" si="10"/>
        <v>18503.491013333329</v>
      </c>
      <c r="M37" s="16">
        <f t="shared" si="11"/>
        <v>3421.7232018666668</v>
      </c>
      <c r="N37" s="57">
        <f t="shared" si="12"/>
        <v>28424.374281866661</v>
      </c>
      <c r="O37" s="29">
        <f t="shared" si="13"/>
        <v>104885.08094853332</v>
      </c>
      <c r="P37" s="132">
        <f t="shared" si="17"/>
        <v>69.92338729902221</v>
      </c>
      <c r="T37" s="55"/>
    </row>
    <row r="38" spans="1:25" s="5" customFormat="1">
      <c r="A38" s="12" t="s">
        <v>58</v>
      </c>
      <c r="B38" s="12" t="s">
        <v>43</v>
      </c>
      <c r="C38" s="12" t="s">
        <v>18</v>
      </c>
      <c r="D38" s="16">
        <v>39141.53</v>
      </c>
      <c r="E38" s="16">
        <v>15656.6</v>
      </c>
      <c r="F38" s="16">
        <v>11786.91</v>
      </c>
      <c r="G38" s="16">
        <v>12500.35</v>
      </c>
      <c r="H38" s="16">
        <f t="shared" si="14"/>
        <v>4566.5108333333328</v>
      </c>
      <c r="I38" s="16">
        <f t="shared" si="15"/>
        <v>982.24249999999995</v>
      </c>
      <c r="J38" s="57">
        <f t="shared" si="16"/>
        <v>84634.143333333326</v>
      </c>
      <c r="K38" s="16">
        <f t="shared" si="9"/>
        <v>7193.9021833333336</v>
      </c>
      <c r="L38" s="16">
        <f t="shared" si="10"/>
        <v>20481.462686666666</v>
      </c>
      <c r="M38" s="16">
        <f t="shared" si="11"/>
        <v>3807.0843165333326</v>
      </c>
      <c r="N38" s="57">
        <f t="shared" si="12"/>
        <v>31482.449186533329</v>
      </c>
      <c r="O38" s="29">
        <f t="shared" si="13"/>
        <v>116116.59251986665</v>
      </c>
      <c r="P38" s="132">
        <f t="shared" si="17"/>
        <v>77.4110616799111</v>
      </c>
      <c r="T38" s="55"/>
    </row>
    <row r="39" spans="1:25" s="5" customFormat="1">
      <c r="A39" s="12" t="s">
        <v>58</v>
      </c>
      <c r="B39" s="12" t="s">
        <v>43</v>
      </c>
      <c r="C39" s="12" t="s">
        <v>221</v>
      </c>
      <c r="D39" s="16">
        <v>39141.53</v>
      </c>
      <c r="E39" s="16">
        <v>15656.6</v>
      </c>
      <c r="F39" s="16">
        <v>11786.91</v>
      </c>
      <c r="G39" s="16">
        <v>11111.44</v>
      </c>
      <c r="H39" s="16">
        <f>(D39+E39)/12</f>
        <v>4566.5108333333328</v>
      </c>
      <c r="I39" s="16">
        <f t="shared" ref="I39" si="18">F39/12</f>
        <v>982.24249999999995</v>
      </c>
      <c r="J39" s="57">
        <f>D39+E39+F39+G39+H39+I39</f>
        <v>83245.233333333323</v>
      </c>
      <c r="K39" s="16">
        <f t="shared" ref="K39" si="19">J39*0.085</f>
        <v>7075.8448333333326</v>
      </c>
      <c r="L39" s="16">
        <f t="shared" ref="L39" si="20">J39/100*24.2</f>
        <v>20145.346466666662</v>
      </c>
      <c r="M39" s="16">
        <f>(((D39+E39+H39)/100*80)+((F39+I39)/100*48))/100*7.1</f>
        <v>3807.0843165333326</v>
      </c>
      <c r="N39" s="57">
        <f t="shared" ref="N39" si="21">K39+L39+M39</f>
        <v>31028.275616533327</v>
      </c>
      <c r="O39" s="29">
        <f t="shared" ref="O39" si="22">J39+N39</f>
        <v>114273.50894986665</v>
      </c>
      <c r="P39" s="132">
        <f t="shared" si="17"/>
        <v>76.182339299911106</v>
      </c>
      <c r="T39" s="55"/>
    </row>
    <row r="40" spans="1:25" s="5" customFormat="1">
      <c r="A40" s="12" t="s">
        <v>58</v>
      </c>
      <c r="B40" s="12" t="s">
        <v>43</v>
      </c>
      <c r="C40" s="12" t="s">
        <v>19</v>
      </c>
      <c r="D40" s="16">
        <v>39141.53</v>
      </c>
      <c r="E40" s="16">
        <v>18787.919999999998</v>
      </c>
      <c r="F40" s="16">
        <v>11786.91</v>
      </c>
      <c r="G40" s="16">
        <v>13889.28</v>
      </c>
      <c r="H40" s="16">
        <f>(D40+E40)/12</f>
        <v>4827.4541666666664</v>
      </c>
      <c r="I40" s="16">
        <f t="shared" si="15"/>
        <v>982.24249999999995</v>
      </c>
      <c r="J40" s="57">
        <f>D40+E40+F40+G40+H40+I40</f>
        <v>89415.336666666655</v>
      </c>
      <c r="K40" s="16">
        <f t="shared" si="9"/>
        <v>7600.3036166666661</v>
      </c>
      <c r="L40" s="16">
        <f t="shared" si="10"/>
        <v>21638.511473333328</v>
      </c>
      <c r="M40" s="16">
        <f>(((D40+E40+H40)/100*80)+((F40+I40)/100*48))/100*7.1</f>
        <v>3999.7648738666667</v>
      </c>
      <c r="N40" s="57">
        <f t="shared" si="12"/>
        <v>33238.579963866665</v>
      </c>
      <c r="O40" s="29">
        <f t="shared" si="13"/>
        <v>122653.91663053332</v>
      </c>
      <c r="P40" s="132">
        <f t="shared" si="17"/>
        <v>81.769277753688883</v>
      </c>
      <c r="R40" s="6"/>
      <c r="T40" s="55"/>
    </row>
    <row r="41" spans="1:25">
      <c r="A41" s="12" t="s">
        <v>58</v>
      </c>
      <c r="B41" s="12" t="s">
        <v>43</v>
      </c>
      <c r="C41" s="12" t="s">
        <v>20</v>
      </c>
      <c r="D41" s="16">
        <v>39141.53</v>
      </c>
      <c r="E41" s="16">
        <v>25739.47</v>
      </c>
      <c r="F41" s="16">
        <v>11786.91</v>
      </c>
      <c r="G41" s="16">
        <v>13889.28</v>
      </c>
      <c r="H41" s="16">
        <f t="shared" si="14"/>
        <v>5406.75</v>
      </c>
      <c r="I41" s="16">
        <f t="shared" si="15"/>
        <v>982.24249999999995</v>
      </c>
      <c r="J41" s="57">
        <f t="shared" si="16"/>
        <v>96946.182499999995</v>
      </c>
      <c r="K41" s="16">
        <f t="shared" si="9"/>
        <v>8240.4255125</v>
      </c>
      <c r="L41" s="16">
        <f t="shared" si="10"/>
        <v>23460.976165</v>
      </c>
      <c r="M41" s="16">
        <f t="shared" si="11"/>
        <v>4427.5169172000005</v>
      </c>
      <c r="N41" s="57">
        <f t="shared" si="12"/>
        <v>36128.918594700001</v>
      </c>
      <c r="O41" s="29">
        <f t="shared" si="13"/>
        <v>133075.10109469999</v>
      </c>
      <c r="P41" s="132">
        <f t="shared" si="17"/>
        <v>88.71673406313333</v>
      </c>
      <c r="T41" s="55"/>
    </row>
    <row r="42" spans="1:25">
      <c r="A42" s="12" t="s">
        <v>58</v>
      </c>
      <c r="B42" s="12" t="s">
        <v>43</v>
      </c>
      <c r="C42" s="12" t="s">
        <v>21</v>
      </c>
      <c r="D42" s="16">
        <v>39141.53</v>
      </c>
      <c r="E42" s="16">
        <v>29215.24</v>
      </c>
      <c r="F42" s="16">
        <v>11786.91</v>
      </c>
      <c r="G42" s="16">
        <v>13889.28</v>
      </c>
      <c r="H42" s="16">
        <f>(D42+E42)/12</f>
        <v>5696.3975</v>
      </c>
      <c r="I42" s="16">
        <f t="shared" si="15"/>
        <v>982.24249999999995</v>
      </c>
      <c r="J42" s="57">
        <f t="shared" si="16"/>
        <v>100711.6</v>
      </c>
      <c r="K42" s="16">
        <f t="shared" si="9"/>
        <v>8560.4860000000008</v>
      </c>
      <c r="L42" s="16">
        <f t="shared" si="10"/>
        <v>24372.207200000001</v>
      </c>
      <c r="M42" s="16">
        <f t="shared" si="11"/>
        <v>4641.3926312000003</v>
      </c>
      <c r="N42" s="57">
        <f t="shared" si="12"/>
        <v>37574.085831200005</v>
      </c>
      <c r="O42" s="29">
        <f t="shared" si="13"/>
        <v>138285.68583120001</v>
      </c>
      <c r="P42" s="132">
        <f t="shared" si="17"/>
        <v>92.190457220800013</v>
      </c>
      <c r="T42" s="55"/>
    </row>
    <row r="43" spans="1:25">
      <c r="A43" s="12" t="s">
        <v>58</v>
      </c>
      <c r="B43" s="12" t="s">
        <v>43</v>
      </c>
      <c r="C43" s="12" t="s">
        <v>22</v>
      </c>
      <c r="D43" s="16">
        <v>39141.53</v>
      </c>
      <c r="E43" s="16">
        <v>36166.769999999997</v>
      </c>
      <c r="F43" s="16">
        <v>11786.91</v>
      </c>
      <c r="G43" s="16">
        <v>13889.28</v>
      </c>
      <c r="H43" s="16">
        <f t="shared" ref="H43:H46" si="23">(D43+E43)/12</f>
        <v>6275.6916666666657</v>
      </c>
      <c r="I43" s="16">
        <f t="shared" si="15"/>
        <v>982.24249999999995</v>
      </c>
      <c r="J43" s="57">
        <f t="shared" si="16"/>
        <v>108242.42416666665</v>
      </c>
      <c r="K43" s="16">
        <f t="shared" si="9"/>
        <v>9200.6060541666666</v>
      </c>
      <c r="L43" s="16">
        <f t="shared" si="10"/>
        <v>26194.666648333332</v>
      </c>
      <c r="M43" s="16">
        <f t="shared" si="11"/>
        <v>5069.1434438666656</v>
      </c>
      <c r="N43" s="57">
        <f t="shared" si="12"/>
        <v>40464.416146366668</v>
      </c>
      <c r="O43" s="29">
        <f t="shared" si="13"/>
        <v>148706.84031303332</v>
      </c>
      <c r="P43" s="132">
        <f t="shared" si="17"/>
        <v>99.137893542022212</v>
      </c>
      <c r="T43" s="55"/>
    </row>
    <row r="44" spans="1:25">
      <c r="A44" s="12" t="s">
        <v>58</v>
      </c>
      <c r="B44" s="12" t="s">
        <v>43</v>
      </c>
      <c r="C44" s="12" t="s">
        <v>23</v>
      </c>
      <c r="D44" s="16">
        <v>39141.53</v>
      </c>
      <c r="E44" s="16">
        <v>39642.519999999997</v>
      </c>
      <c r="F44" s="16">
        <v>11786.91</v>
      </c>
      <c r="G44" s="16">
        <v>13889.28</v>
      </c>
      <c r="H44" s="16">
        <f t="shared" si="23"/>
        <v>6565.3374999999987</v>
      </c>
      <c r="I44" s="16">
        <f t="shared" si="15"/>
        <v>982.24249999999995</v>
      </c>
      <c r="J44" s="57">
        <f t="shared" si="16"/>
        <v>112007.81999999998</v>
      </c>
      <c r="K44" s="16">
        <f t="shared" si="9"/>
        <v>9520.6646999999994</v>
      </c>
      <c r="L44" s="16">
        <f t="shared" si="10"/>
        <v>27105.892439999992</v>
      </c>
      <c r="M44" s="16">
        <f t="shared" si="11"/>
        <v>5283.0179271999987</v>
      </c>
      <c r="N44" s="57">
        <f t="shared" si="12"/>
        <v>41909.575067199985</v>
      </c>
      <c r="O44" s="29">
        <f t="shared" si="13"/>
        <v>153917.39506719995</v>
      </c>
      <c r="P44" s="132">
        <f t="shared" si="17"/>
        <v>102.61159671146663</v>
      </c>
      <c r="T44" s="55"/>
    </row>
    <row r="45" spans="1:25">
      <c r="A45" s="12" t="s">
        <v>58</v>
      </c>
      <c r="B45" s="12" t="s">
        <v>43</v>
      </c>
      <c r="C45" s="12" t="s">
        <v>24</v>
      </c>
      <c r="D45" s="16">
        <v>39141.53</v>
      </c>
      <c r="E45" s="16">
        <v>46594.06</v>
      </c>
      <c r="F45" s="16">
        <v>11786.91</v>
      </c>
      <c r="G45" s="16">
        <v>13889.28</v>
      </c>
      <c r="H45" s="16">
        <f t="shared" si="23"/>
        <v>7144.6324999999997</v>
      </c>
      <c r="I45" s="16">
        <f t="shared" si="15"/>
        <v>982.24249999999995</v>
      </c>
      <c r="J45" s="57">
        <f t="shared" si="16"/>
        <v>119538.655</v>
      </c>
      <c r="K45" s="16">
        <f t="shared" si="9"/>
        <v>10160.785675000001</v>
      </c>
      <c r="L45" s="16">
        <f t="shared" si="10"/>
        <v>28928.354509999997</v>
      </c>
      <c r="M45" s="16">
        <f t="shared" si="11"/>
        <v>5710.7693552000001</v>
      </c>
      <c r="N45" s="57">
        <f t="shared" si="12"/>
        <v>44799.909540199995</v>
      </c>
      <c r="O45" s="29">
        <f t="shared" si="13"/>
        <v>164338.56454019999</v>
      </c>
      <c r="P45" s="132">
        <f t="shared" si="17"/>
        <v>109.5590430268</v>
      </c>
      <c r="T45" s="55"/>
    </row>
    <row r="46" spans="1:25">
      <c r="A46" s="12" t="s">
        <v>58</v>
      </c>
      <c r="B46" s="12" t="s">
        <v>43</v>
      </c>
      <c r="C46" s="12" t="s">
        <v>25</v>
      </c>
      <c r="D46" s="16">
        <v>39141.53</v>
      </c>
      <c r="E46" s="16">
        <v>48737.46</v>
      </c>
      <c r="F46" s="16">
        <v>11786.91</v>
      </c>
      <c r="G46" s="16">
        <v>13889.28</v>
      </c>
      <c r="H46" s="16">
        <f t="shared" si="23"/>
        <v>7323.2491666666656</v>
      </c>
      <c r="I46" s="16">
        <f t="shared" si="15"/>
        <v>982.24249999999995</v>
      </c>
      <c r="J46" s="57">
        <f t="shared" si="16"/>
        <v>121860.67166666665</v>
      </c>
      <c r="K46" s="16">
        <f t="shared" si="9"/>
        <v>10358.157091666666</v>
      </c>
      <c r="L46" s="16">
        <f t="shared" si="10"/>
        <v>29490.282543333327</v>
      </c>
      <c r="M46" s="16">
        <f t="shared" si="11"/>
        <v>5842.6599018666657</v>
      </c>
      <c r="N46" s="57">
        <f t="shared" si="12"/>
        <v>45691.099536866663</v>
      </c>
      <c r="O46" s="29">
        <f t="shared" si="13"/>
        <v>167551.77120353331</v>
      </c>
      <c r="P46" s="132">
        <f t="shared" si="17"/>
        <v>111.70118080235554</v>
      </c>
      <c r="T46" s="55"/>
    </row>
    <row r="47" spans="1:25">
      <c r="A47" s="12" t="s">
        <v>58</v>
      </c>
      <c r="B47" s="12" t="s">
        <v>43</v>
      </c>
      <c r="C47" s="12" t="s">
        <v>26</v>
      </c>
      <c r="D47" s="16">
        <v>39141.53</v>
      </c>
      <c r="E47" s="16">
        <v>53024.24</v>
      </c>
      <c r="F47" s="16">
        <v>11786.91</v>
      </c>
      <c r="G47" s="16">
        <v>13889.28</v>
      </c>
      <c r="H47" s="16">
        <f>(D47+E47)/12</f>
        <v>7680.4808333333322</v>
      </c>
      <c r="I47" s="16">
        <f t="shared" si="15"/>
        <v>982.24249999999995</v>
      </c>
      <c r="J47" s="57">
        <f t="shared" si="16"/>
        <v>126504.68333333332</v>
      </c>
      <c r="K47" s="16">
        <f t="shared" si="9"/>
        <v>10752.898083333333</v>
      </c>
      <c r="L47" s="16">
        <f>J47/100*24.2</f>
        <v>30614.133366666661</v>
      </c>
      <c r="M47" s="16">
        <f t="shared" si="11"/>
        <v>6106.439764533332</v>
      </c>
      <c r="N47" s="57">
        <f t="shared" si="12"/>
        <v>47473.471214533325</v>
      </c>
      <c r="O47" s="29">
        <f t="shared" si="13"/>
        <v>173978.15454786664</v>
      </c>
      <c r="P47" s="132">
        <f t="shared" si="17"/>
        <v>115.98543636524442</v>
      </c>
      <c r="T47" s="55"/>
    </row>
    <row r="48" spans="1:25">
      <c r="A48" s="12" t="s">
        <v>58</v>
      </c>
      <c r="B48" s="12" t="s">
        <v>43</v>
      </c>
      <c r="C48" s="12" t="s">
        <v>27</v>
      </c>
      <c r="D48" s="16">
        <v>39141.53</v>
      </c>
      <c r="E48" s="16">
        <v>55167.63</v>
      </c>
      <c r="F48" s="16">
        <v>11786.91</v>
      </c>
      <c r="G48" s="16">
        <v>13889.28</v>
      </c>
      <c r="H48" s="16">
        <f>(D48+E48)/12</f>
        <v>7859.0966666666673</v>
      </c>
      <c r="I48" s="16">
        <f t="shared" si="15"/>
        <v>982.24249999999995</v>
      </c>
      <c r="J48" s="57">
        <f t="shared" si="16"/>
        <v>128826.68916666666</v>
      </c>
      <c r="K48" s="16">
        <f t="shared" si="9"/>
        <v>10950.268579166666</v>
      </c>
      <c r="L48" s="16">
        <f>J48/100*24.2</f>
        <v>31176.058778333332</v>
      </c>
      <c r="M48" s="16">
        <f t="shared" si="11"/>
        <v>6238.329695866666</v>
      </c>
      <c r="N48" s="57">
        <f t="shared" si="12"/>
        <v>48364.657053366667</v>
      </c>
      <c r="O48" s="29">
        <f t="shared" si="13"/>
        <v>177191.34622003333</v>
      </c>
      <c r="P48" s="132">
        <f t="shared" si="17"/>
        <v>118.12756414668888</v>
      </c>
      <c r="T48" s="55"/>
    </row>
    <row r="49" spans="1:25" ht="13.5" customHeight="1">
      <c r="A49" s="12" t="s">
        <v>58</v>
      </c>
      <c r="B49" s="12" t="s">
        <v>43</v>
      </c>
      <c r="C49" s="12" t="s">
        <v>28</v>
      </c>
      <c r="D49" s="16">
        <v>39141.53</v>
      </c>
      <c r="E49" s="16">
        <v>59454.43</v>
      </c>
      <c r="F49" s="16">
        <v>11786.91</v>
      </c>
      <c r="G49" s="16">
        <v>13889.28</v>
      </c>
      <c r="H49" s="16">
        <f>(D49+E49)/12</f>
        <v>8216.33</v>
      </c>
      <c r="I49" s="16">
        <f t="shared" si="15"/>
        <v>982.24249999999995</v>
      </c>
      <c r="J49" s="57">
        <f t="shared" si="16"/>
        <v>133470.72249999997</v>
      </c>
      <c r="K49" s="16">
        <f t="shared" si="9"/>
        <v>11345.011412499998</v>
      </c>
      <c r="L49" s="16">
        <f>J49/100*24.2</f>
        <v>32299.914844999992</v>
      </c>
      <c r="M49" s="16">
        <f t="shared" si="11"/>
        <v>6502.1107891999991</v>
      </c>
      <c r="N49" s="57">
        <f t="shared" si="12"/>
        <v>50147.037046699988</v>
      </c>
      <c r="O49" s="29">
        <f t="shared" si="13"/>
        <v>183617.75954669996</v>
      </c>
      <c r="P49" s="132">
        <f t="shared" si="17"/>
        <v>122.41183969779998</v>
      </c>
      <c r="T49" s="55"/>
    </row>
    <row r="50" spans="1:25">
      <c r="A50" s="12" t="s">
        <v>58</v>
      </c>
      <c r="B50" s="12" t="s">
        <v>43</v>
      </c>
      <c r="C50" s="12" t="s">
        <v>29</v>
      </c>
      <c r="D50" s="16">
        <v>39141.53</v>
      </c>
      <c r="E50" s="16">
        <v>3131.34</v>
      </c>
      <c r="F50" s="16">
        <v>11786.91</v>
      </c>
      <c r="G50" s="16">
        <v>9722.49</v>
      </c>
      <c r="H50" s="16">
        <f t="shared" ref="H50:H63" si="24">(D50+E50)/12</f>
        <v>3522.7391666666663</v>
      </c>
      <c r="I50" s="16">
        <f t="shared" si="15"/>
        <v>982.24249999999995</v>
      </c>
      <c r="J50" s="57">
        <f t="shared" si="16"/>
        <v>68287.251666666649</v>
      </c>
      <c r="K50" s="16">
        <f t="shared" si="9"/>
        <v>5804.4163916666657</v>
      </c>
      <c r="L50" s="16">
        <f t="shared" ref="L50:L63" si="25">J50/100*24.2</f>
        <v>16525.514903333329</v>
      </c>
      <c r="M50" s="16">
        <f t="shared" si="11"/>
        <v>3036.3633178666664</v>
      </c>
      <c r="N50" s="57">
        <f t="shared" si="12"/>
        <v>25366.294612866663</v>
      </c>
      <c r="O50" s="29">
        <f t="shared" si="13"/>
        <v>93653.546279533315</v>
      </c>
      <c r="P50" s="132">
        <f t="shared" si="17"/>
        <v>62.43569751968888</v>
      </c>
      <c r="T50" s="55"/>
    </row>
    <row r="51" spans="1:25">
      <c r="A51" s="12" t="s">
        <v>58</v>
      </c>
      <c r="B51" s="12" t="s">
        <v>43</v>
      </c>
      <c r="C51" s="12" t="s">
        <v>30</v>
      </c>
      <c r="D51" s="16">
        <v>39141.53</v>
      </c>
      <c r="E51" s="16">
        <v>12525.28</v>
      </c>
      <c r="F51" s="16">
        <v>11786.91</v>
      </c>
      <c r="G51" s="16">
        <v>11111.44</v>
      </c>
      <c r="H51" s="16">
        <f t="shared" si="24"/>
        <v>4305.5675000000001</v>
      </c>
      <c r="I51" s="16">
        <f t="shared" si="15"/>
        <v>982.24249999999995</v>
      </c>
      <c r="J51" s="57">
        <f t="shared" si="16"/>
        <v>79852.97</v>
      </c>
      <c r="K51" s="16">
        <f t="shared" si="9"/>
        <v>6787.5024500000009</v>
      </c>
      <c r="L51" s="16">
        <f t="shared" si="25"/>
        <v>19324.418740000001</v>
      </c>
      <c r="M51" s="16">
        <f t="shared" si="11"/>
        <v>3614.4037591999995</v>
      </c>
      <c r="N51" s="57">
        <f t="shared" si="12"/>
        <v>29726.3249492</v>
      </c>
      <c r="O51" s="29">
        <f t="shared" si="13"/>
        <v>109579.2949492</v>
      </c>
      <c r="P51" s="132">
        <f t="shared" si="17"/>
        <v>73.052863299466665</v>
      </c>
      <c r="T51" s="55"/>
    </row>
    <row r="52" spans="1:25">
      <c r="A52" s="12" t="s">
        <v>58</v>
      </c>
      <c r="B52" s="12" t="s">
        <v>43</v>
      </c>
      <c r="C52" s="12" t="s">
        <v>31</v>
      </c>
      <c r="D52" s="16">
        <v>39141.53</v>
      </c>
      <c r="E52" s="16">
        <v>22263.69</v>
      </c>
      <c r="F52" s="16">
        <v>11786.91</v>
      </c>
      <c r="G52" s="16">
        <v>13889.28</v>
      </c>
      <c r="H52" s="16">
        <f t="shared" si="24"/>
        <v>5117.1016666666665</v>
      </c>
      <c r="I52" s="16">
        <f t="shared" si="15"/>
        <v>982.24249999999995</v>
      </c>
      <c r="J52" s="57">
        <f t="shared" si="16"/>
        <v>93180.754166666666</v>
      </c>
      <c r="K52" s="16">
        <f t="shared" si="9"/>
        <v>7920.3641041666669</v>
      </c>
      <c r="L52" s="16">
        <f t="shared" si="25"/>
        <v>22549.742508333333</v>
      </c>
      <c r="M52" s="16">
        <f t="shared" si="11"/>
        <v>4213.6405878666674</v>
      </c>
      <c r="N52" s="57">
        <f t="shared" si="12"/>
        <v>34683.74720036667</v>
      </c>
      <c r="O52" s="29">
        <f t="shared" si="13"/>
        <v>127864.50136703334</v>
      </c>
      <c r="P52" s="132">
        <f t="shared" si="17"/>
        <v>85.243000911355566</v>
      </c>
      <c r="T52" s="55"/>
    </row>
    <row r="53" spans="1:25">
      <c r="A53" s="12" t="s">
        <v>58</v>
      </c>
      <c r="B53" s="12" t="s">
        <v>43</v>
      </c>
      <c r="C53" s="12" t="s">
        <v>32</v>
      </c>
      <c r="D53" s="16">
        <v>39141.53</v>
      </c>
      <c r="E53" s="16">
        <v>32690.98</v>
      </c>
      <c r="F53" s="16">
        <v>11786.91</v>
      </c>
      <c r="G53" s="16">
        <v>13889.28</v>
      </c>
      <c r="H53" s="16">
        <f t="shared" si="24"/>
        <v>5986.0424999999996</v>
      </c>
      <c r="I53" s="16">
        <f t="shared" si="15"/>
        <v>982.24249999999995</v>
      </c>
      <c r="J53" s="57">
        <f t="shared" si="16"/>
        <v>104476.98499999999</v>
      </c>
      <c r="K53" s="16">
        <f t="shared" si="9"/>
        <v>8880.5437249999995</v>
      </c>
      <c r="L53" s="16">
        <f t="shared" si="25"/>
        <v>25283.430369999998</v>
      </c>
      <c r="M53" s="16">
        <f t="shared" si="11"/>
        <v>4855.2664991999982</v>
      </c>
      <c r="N53" s="57">
        <f t="shared" si="12"/>
        <v>39019.240594199997</v>
      </c>
      <c r="O53" s="29">
        <f t="shared" si="13"/>
        <v>143496.22559419999</v>
      </c>
      <c r="P53" s="132">
        <f t="shared" si="17"/>
        <v>95.664150396133323</v>
      </c>
      <c r="T53" s="55"/>
    </row>
    <row r="54" spans="1:25">
      <c r="A54" s="12" t="s">
        <v>58</v>
      </c>
      <c r="B54" s="12" t="s">
        <v>43</v>
      </c>
      <c r="C54" s="12" t="s">
        <v>33</v>
      </c>
      <c r="D54" s="16">
        <v>39141.53</v>
      </c>
      <c r="E54" s="16">
        <v>43118.31</v>
      </c>
      <c r="F54" s="16">
        <v>11786.91</v>
      </c>
      <c r="G54" s="16">
        <v>13889.28</v>
      </c>
      <c r="H54" s="16">
        <f t="shared" si="24"/>
        <v>6854.9866666666667</v>
      </c>
      <c r="I54" s="16">
        <f t="shared" si="15"/>
        <v>982.24249999999995</v>
      </c>
      <c r="J54" s="57">
        <f t="shared" si="16"/>
        <v>115773.25916666666</v>
      </c>
      <c r="K54" s="16">
        <f t="shared" si="9"/>
        <v>9840.7270291666664</v>
      </c>
      <c r="L54" s="16">
        <f t="shared" si="25"/>
        <v>28017.12871833333</v>
      </c>
      <c r="M54" s="16">
        <f t="shared" si="11"/>
        <v>5496.8948718666661</v>
      </c>
      <c r="N54" s="57">
        <f t="shared" si="12"/>
        <v>43354.750619366663</v>
      </c>
      <c r="O54" s="29">
        <f t="shared" si="13"/>
        <v>159128.0097860333</v>
      </c>
      <c r="P54" s="132">
        <f t="shared" si="17"/>
        <v>106.08533985735554</v>
      </c>
      <c r="T54" s="55"/>
    </row>
    <row r="55" spans="1:25">
      <c r="A55" s="12" t="s">
        <v>58</v>
      </c>
      <c r="B55" s="12" t="s">
        <v>43</v>
      </c>
      <c r="C55" s="12" t="s">
        <v>34</v>
      </c>
      <c r="D55" s="16">
        <v>39141.53</v>
      </c>
      <c r="E55" s="16">
        <v>50880.85</v>
      </c>
      <c r="F55" s="16">
        <v>11786.91</v>
      </c>
      <c r="G55" s="16">
        <v>13889.28</v>
      </c>
      <c r="H55" s="16">
        <f t="shared" si="24"/>
        <v>7501.8650000000007</v>
      </c>
      <c r="I55" s="16">
        <f t="shared" si="15"/>
        <v>982.24249999999995</v>
      </c>
      <c r="J55" s="57">
        <f t="shared" si="16"/>
        <v>124182.67750000001</v>
      </c>
      <c r="K55" s="16">
        <f t="shared" si="9"/>
        <v>10555.527587500001</v>
      </c>
      <c r="L55" s="16">
        <f t="shared" si="25"/>
        <v>30052.207954999998</v>
      </c>
      <c r="M55" s="16">
        <f t="shared" si="11"/>
        <v>5974.5498331999997</v>
      </c>
      <c r="N55" s="57">
        <f t="shared" si="12"/>
        <v>46582.285375699998</v>
      </c>
      <c r="O55" s="29">
        <f t="shared" si="13"/>
        <v>170764.9628757</v>
      </c>
      <c r="P55" s="132">
        <f t="shared" si="17"/>
        <v>113.8433085838</v>
      </c>
      <c r="T55" s="55"/>
    </row>
    <row r="56" spans="1:25">
      <c r="A56" s="12" t="s">
        <v>58</v>
      </c>
      <c r="B56" s="12" t="s">
        <v>43</v>
      </c>
      <c r="C56" s="12" t="s">
        <v>35</v>
      </c>
      <c r="D56" s="16">
        <v>39141.53</v>
      </c>
      <c r="E56" s="16">
        <v>57311.03</v>
      </c>
      <c r="F56" s="16">
        <v>11786.91</v>
      </c>
      <c r="G56" s="16">
        <v>13889.28</v>
      </c>
      <c r="H56" s="16">
        <f t="shared" si="24"/>
        <v>8037.7133333333331</v>
      </c>
      <c r="I56" s="16">
        <f t="shared" si="15"/>
        <v>982.24249999999995</v>
      </c>
      <c r="J56" s="57">
        <f t="shared" si="16"/>
        <v>131148.70583333334</v>
      </c>
      <c r="K56" s="16">
        <f t="shared" si="9"/>
        <v>11147.639995833335</v>
      </c>
      <c r="L56" s="16">
        <f t="shared" si="25"/>
        <v>31737.986811666666</v>
      </c>
      <c r="M56" s="16">
        <f t="shared" si="11"/>
        <v>6370.2202425333326</v>
      </c>
      <c r="N56" s="57">
        <f t="shared" si="12"/>
        <v>49255.847050033328</v>
      </c>
      <c r="O56" s="29">
        <f t="shared" si="13"/>
        <v>180404.55288336668</v>
      </c>
      <c r="P56" s="132">
        <f t="shared" si="17"/>
        <v>120.26970192224445</v>
      </c>
      <c r="T56" s="55"/>
    </row>
    <row r="57" spans="1:25">
      <c r="A57" s="12" t="s">
        <v>58</v>
      </c>
      <c r="B57" s="12" t="s">
        <v>43</v>
      </c>
      <c r="C57" s="12" t="s">
        <v>36</v>
      </c>
      <c r="D57" s="16">
        <v>39141.53</v>
      </c>
      <c r="E57" s="16">
        <v>3131.34</v>
      </c>
      <c r="F57" s="16">
        <v>11786.91</v>
      </c>
      <c r="G57" s="16">
        <v>9722.49</v>
      </c>
      <c r="H57" s="16">
        <f t="shared" si="24"/>
        <v>3522.7391666666663</v>
      </c>
      <c r="I57" s="16">
        <f t="shared" si="15"/>
        <v>982.24249999999995</v>
      </c>
      <c r="J57" s="57">
        <f t="shared" si="16"/>
        <v>68287.251666666649</v>
      </c>
      <c r="K57" s="16">
        <f t="shared" si="9"/>
        <v>5804.4163916666657</v>
      </c>
      <c r="L57" s="16">
        <f t="shared" si="25"/>
        <v>16525.514903333329</v>
      </c>
      <c r="M57" s="16">
        <f t="shared" si="11"/>
        <v>3036.3633178666664</v>
      </c>
      <c r="N57" s="57">
        <f t="shared" si="12"/>
        <v>25366.294612866663</v>
      </c>
      <c r="O57" s="29">
        <f t="shared" si="13"/>
        <v>93653.546279533315</v>
      </c>
      <c r="P57" s="132">
        <f t="shared" si="17"/>
        <v>62.43569751968888</v>
      </c>
      <c r="T57" s="55"/>
    </row>
    <row r="58" spans="1:25">
      <c r="A58" s="12" t="s">
        <v>58</v>
      </c>
      <c r="B58" s="12" t="s">
        <v>43</v>
      </c>
      <c r="C58" s="12" t="s">
        <v>37</v>
      </c>
      <c r="D58" s="16">
        <v>39141.53</v>
      </c>
      <c r="E58" s="16">
        <v>12525.28</v>
      </c>
      <c r="F58" s="16">
        <v>11786.91</v>
      </c>
      <c r="G58" s="16">
        <v>11111.44</v>
      </c>
      <c r="H58" s="16">
        <f t="shared" si="24"/>
        <v>4305.5675000000001</v>
      </c>
      <c r="I58" s="16">
        <f t="shared" si="15"/>
        <v>982.24249999999995</v>
      </c>
      <c r="J58" s="57">
        <f t="shared" si="16"/>
        <v>79852.97</v>
      </c>
      <c r="K58" s="16">
        <f t="shared" si="9"/>
        <v>6787.5024500000009</v>
      </c>
      <c r="L58" s="16">
        <f t="shared" si="25"/>
        <v>19324.418740000001</v>
      </c>
      <c r="M58" s="16">
        <f t="shared" si="11"/>
        <v>3614.4037591999995</v>
      </c>
      <c r="N58" s="57">
        <f t="shared" si="12"/>
        <v>29726.3249492</v>
      </c>
      <c r="O58" s="29">
        <f t="shared" si="13"/>
        <v>109579.2949492</v>
      </c>
      <c r="P58" s="132">
        <f t="shared" si="17"/>
        <v>73.052863299466665</v>
      </c>
      <c r="T58" s="55"/>
    </row>
    <row r="59" spans="1:25">
      <c r="A59" s="12" t="s">
        <v>58</v>
      </c>
      <c r="B59" s="12" t="s">
        <v>43</v>
      </c>
      <c r="C59" s="12" t="s">
        <v>38</v>
      </c>
      <c r="D59" s="16">
        <v>39141.53</v>
      </c>
      <c r="E59" s="16">
        <v>22263.69</v>
      </c>
      <c r="F59" s="16">
        <v>11786.91</v>
      </c>
      <c r="G59" s="16">
        <v>13889.28</v>
      </c>
      <c r="H59" s="16">
        <f t="shared" si="24"/>
        <v>5117.1016666666665</v>
      </c>
      <c r="I59" s="16">
        <f t="shared" si="15"/>
        <v>982.24249999999995</v>
      </c>
      <c r="J59" s="57">
        <f t="shared" si="16"/>
        <v>93180.754166666666</v>
      </c>
      <c r="K59" s="16">
        <f t="shared" si="9"/>
        <v>7920.3641041666669</v>
      </c>
      <c r="L59" s="16">
        <f t="shared" si="25"/>
        <v>22549.742508333333</v>
      </c>
      <c r="M59" s="16">
        <f t="shared" si="11"/>
        <v>4213.6405878666674</v>
      </c>
      <c r="N59" s="57">
        <f t="shared" si="12"/>
        <v>34683.74720036667</v>
      </c>
      <c r="O59" s="29">
        <f t="shared" si="13"/>
        <v>127864.50136703334</v>
      </c>
      <c r="P59" s="132">
        <f t="shared" si="17"/>
        <v>85.243000911355566</v>
      </c>
      <c r="T59" s="55"/>
    </row>
    <row r="60" spans="1:25">
      <c r="A60" s="12" t="s">
        <v>58</v>
      </c>
      <c r="B60" s="12" t="s">
        <v>43</v>
      </c>
      <c r="C60" s="12" t="s">
        <v>39</v>
      </c>
      <c r="D60" s="16">
        <v>39141.53</v>
      </c>
      <c r="E60" s="16">
        <v>32690.98</v>
      </c>
      <c r="F60" s="16">
        <v>11786.91</v>
      </c>
      <c r="G60" s="16">
        <v>13889.28</v>
      </c>
      <c r="H60" s="16">
        <f t="shared" si="24"/>
        <v>5986.0424999999996</v>
      </c>
      <c r="I60" s="16">
        <f t="shared" si="15"/>
        <v>982.24249999999995</v>
      </c>
      <c r="J60" s="57">
        <f t="shared" si="16"/>
        <v>104476.98499999999</v>
      </c>
      <c r="K60" s="16">
        <f t="shared" si="9"/>
        <v>8880.5437249999995</v>
      </c>
      <c r="L60" s="16">
        <f t="shared" si="25"/>
        <v>25283.430369999998</v>
      </c>
      <c r="M60" s="16">
        <f t="shared" si="11"/>
        <v>4855.2664991999982</v>
      </c>
      <c r="N60" s="57">
        <f t="shared" si="12"/>
        <v>39019.240594199997</v>
      </c>
      <c r="O60" s="29">
        <f t="shared" si="13"/>
        <v>143496.22559419999</v>
      </c>
      <c r="P60" s="132">
        <f t="shared" si="17"/>
        <v>95.664150396133323</v>
      </c>
      <c r="T60" s="55"/>
    </row>
    <row r="61" spans="1:25">
      <c r="A61" s="12" t="s">
        <v>58</v>
      </c>
      <c r="B61" s="12" t="s">
        <v>43</v>
      </c>
      <c r="C61" s="12" t="s">
        <v>40</v>
      </c>
      <c r="D61" s="16">
        <v>39141.53</v>
      </c>
      <c r="E61" s="16">
        <v>43118.31</v>
      </c>
      <c r="F61" s="16">
        <v>11786.91</v>
      </c>
      <c r="G61" s="16">
        <v>13889.28</v>
      </c>
      <c r="H61" s="16">
        <f t="shared" si="24"/>
        <v>6854.9866666666667</v>
      </c>
      <c r="I61" s="16">
        <f t="shared" si="15"/>
        <v>982.24249999999995</v>
      </c>
      <c r="J61" s="57">
        <f t="shared" si="16"/>
        <v>115773.25916666666</v>
      </c>
      <c r="K61" s="16">
        <f t="shared" si="9"/>
        <v>9840.7270291666664</v>
      </c>
      <c r="L61" s="16">
        <f t="shared" si="25"/>
        <v>28017.12871833333</v>
      </c>
      <c r="M61" s="16">
        <f t="shared" si="11"/>
        <v>5496.8948718666661</v>
      </c>
      <c r="N61" s="57">
        <f t="shared" si="12"/>
        <v>43354.750619366663</v>
      </c>
      <c r="O61" s="29">
        <f t="shared" si="13"/>
        <v>159128.0097860333</v>
      </c>
      <c r="P61" s="132">
        <f t="shared" si="17"/>
        <v>106.08533985735554</v>
      </c>
      <c r="T61" s="55"/>
    </row>
    <row r="62" spans="1:25">
      <c r="A62" s="12" t="s">
        <v>58</v>
      </c>
      <c r="B62" s="12" t="s">
        <v>43</v>
      </c>
      <c r="C62" s="12" t="s">
        <v>41</v>
      </c>
      <c r="D62" s="16">
        <v>39141.53</v>
      </c>
      <c r="E62" s="16">
        <v>50880.85</v>
      </c>
      <c r="F62" s="16">
        <v>11786.91</v>
      </c>
      <c r="G62" s="16">
        <v>13889.28</v>
      </c>
      <c r="H62" s="16">
        <f t="shared" si="24"/>
        <v>7501.8650000000007</v>
      </c>
      <c r="I62" s="16">
        <f t="shared" si="15"/>
        <v>982.24249999999995</v>
      </c>
      <c r="J62" s="57">
        <f t="shared" si="16"/>
        <v>124182.67750000001</v>
      </c>
      <c r="K62" s="16">
        <f t="shared" si="9"/>
        <v>10555.527587500001</v>
      </c>
      <c r="L62" s="16">
        <f t="shared" si="25"/>
        <v>30052.207954999998</v>
      </c>
      <c r="M62" s="16">
        <f t="shared" si="11"/>
        <v>5974.5498331999997</v>
      </c>
      <c r="N62" s="57">
        <f t="shared" si="12"/>
        <v>46582.285375699998</v>
      </c>
      <c r="O62" s="29">
        <f t="shared" si="13"/>
        <v>170764.9628757</v>
      </c>
      <c r="P62" s="132">
        <f t="shared" si="17"/>
        <v>113.8433085838</v>
      </c>
      <c r="T62" s="55"/>
    </row>
    <row r="63" spans="1:25">
      <c r="A63" s="12" t="s">
        <v>58</v>
      </c>
      <c r="B63" s="12" t="s">
        <v>43</v>
      </c>
      <c r="C63" s="12" t="s">
        <v>42</v>
      </c>
      <c r="D63" s="16">
        <v>39141.53</v>
      </c>
      <c r="E63" s="16">
        <v>57311.03</v>
      </c>
      <c r="F63" s="16">
        <v>11786.91</v>
      </c>
      <c r="G63" s="16">
        <v>13889.28</v>
      </c>
      <c r="H63" s="16">
        <f t="shared" si="24"/>
        <v>8037.7133333333331</v>
      </c>
      <c r="I63" s="16">
        <f t="shared" si="15"/>
        <v>982.24249999999995</v>
      </c>
      <c r="J63" s="57">
        <f t="shared" si="16"/>
        <v>131148.70583333334</v>
      </c>
      <c r="K63" s="16">
        <f t="shared" si="9"/>
        <v>11147.639995833335</v>
      </c>
      <c r="L63" s="16">
        <f t="shared" si="25"/>
        <v>31737.986811666666</v>
      </c>
      <c r="M63" s="16">
        <f t="shared" si="11"/>
        <v>6370.2202425333326</v>
      </c>
      <c r="N63" s="57">
        <f t="shared" si="12"/>
        <v>49255.847050033328</v>
      </c>
      <c r="O63" s="29">
        <f t="shared" si="13"/>
        <v>180404.55288336668</v>
      </c>
      <c r="P63" s="132">
        <f t="shared" si="17"/>
        <v>120.26970192224445</v>
      </c>
      <c r="T63" s="55"/>
    </row>
    <row r="64" spans="1:25" customFormat="1" ht="20.149999999999999" customHeight="1">
      <c r="A64" s="51"/>
      <c r="B64" s="52"/>
      <c r="C64" s="51"/>
      <c r="D64" s="52"/>
      <c r="E64" s="52"/>
      <c r="F64" s="52"/>
      <c r="G64" s="53"/>
      <c r="H64" s="54"/>
      <c r="I64" s="54"/>
      <c r="J64" s="54"/>
      <c r="K64" s="54"/>
      <c r="L64" s="54"/>
      <c r="M64" s="54"/>
      <c r="N64" s="54"/>
      <c r="O64" s="131"/>
      <c r="P64" s="133"/>
      <c r="Q64" s="58"/>
      <c r="R64" s="58"/>
      <c r="S64" s="58"/>
      <c r="T64" s="59"/>
      <c r="W64" s="49"/>
      <c r="X64" s="49"/>
      <c r="Y64" s="50"/>
    </row>
    <row r="65" spans="1:20">
      <c r="A65" s="12" t="s">
        <v>59</v>
      </c>
      <c r="B65" s="12" t="s">
        <v>14</v>
      </c>
      <c r="C65" s="12" t="s">
        <v>15</v>
      </c>
      <c r="D65" s="16">
        <v>20232.63</v>
      </c>
      <c r="E65" s="16">
        <v>0</v>
      </c>
      <c r="F65" s="16">
        <v>10485.78</v>
      </c>
      <c r="G65" s="16">
        <v>0</v>
      </c>
      <c r="H65" s="15">
        <f t="shared" ref="H65:H92" si="26">(D65+E65)/12</f>
        <v>1686.0525</v>
      </c>
      <c r="I65" s="15">
        <f t="shared" ref="I65:I92" si="27">F65/12</f>
        <v>873.81500000000005</v>
      </c>
      <c r="J65" s="14">
        <f t="shared" ref="J65:J92" si="28">D65+E65+F65+G65+H65+I65</f>
        <v>33278.277500000004</v>
      </c>
      <c r="K65" s="15">
        <f t="shared" ref="K65:K92" si="29">J65*0.085</f>
        <v>2828.6535875000004</v>
      </c>
      <c r="L65" s="15">
        <f>(J65/100*24.2)+(D65*18%*24.2%)+(E65*18%*24.2%)</f>
        <v>8934.6765178000005</v>
      </c>
      <c r="M65" s="15">
        <f t="shared" ref="M65:M92" si="30">(((D65+E65+H65)/100*80)+((F65+I65)/100*48))/100*7.1</f>
        <v>1632.1161636000004</v>
      </c>
      <c r="N65" s="14">
        <f t="shared" ref="N65:N92" si="31">K65+L65+M65</f>
        <v>13395.446268900001</v>
      </c>
      <c r="O65" s="28">
        <f t="shared" ref="O65:O92" si="32">J65+N65</f>
        <v>46673.723768900003</v>
      </c>
      <c r="P65" s="132">
        <f>O65/750</f>
        <v>62.231631691866667</v>
      </c>
      <c r="T65" s="55"/>
    </row>
    <row r="66" spans="1:20">
      <c r="A66" s="12" t="s">
        <v>59</v>
      </c>
      <c r="B66" s="12" t="s">
        <v>14</v>
      </c>
      <c r="C66" s="12" t="s">
        <v>16</v>
      </c>
      <c r="D66" s="16">
        <v>20232.63</v>
      </c>
      <c r="E66" s="16">
        <v>3237.22</v>
      </c>
      <c r="F66" s="16">
        <v>10485.78</v>
      </c>
      <c r="G66" s="16">
        <v>0</v>
      </c>
      <c r="H66" s="15">
        <f t="shared" si="26"/>
        <v>1955.8208333333334</v>
      </c>
      <c r="I66" s="15">
        <f t="shared" si="27"/>
        <v>873.81500000000005</v>
      </c>
      <c r="J66" s="14">
        <f t="shared" si="28"/>
        <v>36785.265833333338</v>
      </c>
      <c r="K66" s="15">
        <f t="shared" si="29"/>
        <v>3126.7475958333339</v>
      </c>
      <c r="L66" s="15">
        <f t="shared" ref="L66:L92" si="33">(J66/100*24.2)+(D66*18%*24.2%)+(E66*18%*24.2%)</f>
        <v>9924.3809976666671</v>
      </c>
      <c r="M66" s="15">
        <f t="shared" si="30"/>
        <v>1831.3131009333335</v>
      </c>
      <c r="N66" s="14">
        <f t="shared" si="31"/>
        <v>14882.441694433335</v>
      </c>
      <c r="O66" s="28">
        <f>J66+N66</f>
        <v>51667.707527766674</v>
      </c>
      <c r="P66" s="132">
        <f t="shared" ref="P66:P92" si="34">O66/750</f>
        <v>68.890276703688897</v>
      </c>
      <c r="T66" s="55"/>
    </row>
    <row r="67" spans="1:20">
      <c r="A67" s="12" t="s">
        <v>59</v>
      </c>
      <c r="B67" s="12" t="s">
        <v>14</v>
      </c>
      <c r="C67" s="12" t="s">
        <v>17</v>
      </c>
      <c r="D67" s="16">
        <v>20232.63</v>
      </c>
      <c r="E67" s="16">
        <v>4855.82</v>
      </c>
      <c r="F67" s="16">
        <v>10485.78</v>
      </c>
      <c r="G67" s="16">
        <v>0</v>
      </c>
      <c r="H67" s="15">
        <f t="shared" si="26"/>
        <v>2090.7041666666669</v>
      </c>
      <c r="I67" s="15">
        <f t="shared" si="27"/>
        <v>873.81500000000005</v>
      </c>
      <c r="J67" s="14">
        <f t="shared" si="28"/>
        <v>38538.749166666676</v>
      </c>
      <c r="K67" s="15">
        <f t="shared" si="29"/>
        <v>3275.7936791666675</v>
      </c>
      <c r="L67" s="15">
        <f t="shared" si="33"/>
        <v>10419.230180333334</v>
      </c>
      <c r="M67" s="15">
        <f t="shared" si="30"/>
        <v>1930.9109542666667</v>
      </c>
      <c r="N67" s="14">
        <f t="shared" si="31"/>
        <v>15625.934813766668</v>
      </c>
      <c r="O67" s="28">
        <f t="shared" si="32"/>
        <v>54164.683980433343</v>
      </c>
      <c r="P67" s="132">
        <f t="shared" si="34"/>
        <v>72.219578640577794</v>
      </c>
      <c r="T67" s="55"/>
    </row>
    <row r="68" spans="1:20">
      <c r="A68" s="12" t="s">
        <v>59</v>
      </c>
      <c r="B68" s="12" t="s">
        <v>14</v>
      </c>
      <c r="C68" s="12" t="s">
        <v>18</v>
      </c>
      <c r="D68" s="16">
        <v>20232.63</v>
      </c>
      <c r="E68" s="16">
        <v>8093.05</v>
      </c>
      <c r="F68" s="16">
        <v>10485.78</v>
      </c>
      <c r="G68" s="16">
        <v>0</v>
      </c>
      <c r="H68" s="15">
        <f t="shared" si="26"/>
        <v>2360.4733333333334</v>
      </c>
      <c r="I68" s="15">
        <f t="shared" si="27"/>
        <v>873.81500000000005</v>
      </c>
      <c r="J68" s="14">
        <f t="shared" si="28"/>
        <v>42045.748333333337</v>
      </c>
      <c r="K68" s="15">
        <f t="shared" si="29"/>
        <v>3573.8886083333337</v>
      </c>
      <c r="L68" s="15">
        <f t="shared" si="33"/>
        <v>11408.937717466666</v>
      </c>
      <c r="M68" s="15">
        <f t="shared" si="30"/>
        <v>2130.1085069333335</v>
      </c>
      <c r="N68" s="14">
        <f t="shared" si="31"/>
        <v>17112.934832733335</v>
      </c>
      <c r="O68" s="28">
        <f t="shared" si="32"/>
        <v>59158.683166066672</v>
      </c>
      <c r="P68" s="132">
        <f t="shared" si="34"/>
        <v>78.878244221422236</v>
      </c>
      <c r="T68" s="55"/>
    </row>
    <row r="69" spans="1:20">
      <c r="A69" s="12" t="s">
        <v>59</v>
      </c>
      <c r="B69" s="12" t="s">
        <v>14</v>
      </c>
      <c r="C69" s="12" t="s">
        <v>19</v>
      </c>
      <c r="D69" s="16">
        <v>20232.63</v>
      </c>
      <c r="E69" s="16">
        <v>9711.67</v>
      </c>
      <c r="F69" s="16">
        <v>10485.78</v>
      </c>
      <c r="G69" s="16">
        <v>0</v>
      </c>
      <c r="H69" s="15">
        <f t="shared" si="26"/>
        <v>2495.3583333333336</v>
      </c>
      <c r="I69" s="15">
        <f t="shared" si="27"/>
        <v>873.81500000000005</v>
      </c>
      <c r="J69" s="14">
        <f t="shared" si="28"/>
        <v>43799.253333333341</v>
      </c>
      <c r="K69" s="15">
        <f t="shared" si="29"/>
        <v>3722.9365333333344</v>
      </c>
      <c r="L69" s="15">
        <f t="shared" si="33"/>
        <v>11903.793014666668</v>
      </c>
      <c r="M69" s="15">
        <f t="shared" si="30"/>
        <v>2229.7075909333334</v>
      </c>
      <c r="N69" s="14">
        <f t="shared" si="31"/>
        <v>17856.437138933336</v>
      </c>
      <c r="O69" s="28">
        <f t="shared" si="32"/>
        <v>61655.69047226668</v>
      </c>
      <c r="P69" s="132">
        <f t="shared" si="34"/>
        <v>82.20758729635557</v>
      </c>
      <c r="T69" s="55"/>
    </row>
    <row r="70" spans="1:20">
      <c r="A70" s="12" t="s">
        <v>59</v>
      </c>
      <c r="B70" s="12" t="s">
        <v>14</v>
      </c>
      <c r="C70" s="12" t="s">
        <v>20</v>
      </c>
      <c r="D70" s="16">
        <v>20232.63</v>
      </c>
      <c r="E70" s="16">
        <v>11208.87</v>
      </c>
      <c r="F70" s="16">
        <v>10485.78</v>
      </c>
      <c r="G70" s="16">
        <v>0</v>
      </c>
      <c r="H70" s="15">
        <f>(D70+E70)/12</f>
        <v>2620.125</v>
      </c>
      <c r="I70" s="15">
        <f t="shared" si="27"/>
        <v>873.81500000000005</v>
      </c>
      <c r="J70" s="14">
        <f t="shared" si="28"/>
        <v>45421.22</v>
      </c>
      <c r="K70" s="15">
        <f t="shared" si="29"/>
        <v>3860.8037000000004</v>
      </c>
      <c r="L70" s="15">
        <f t="shared" si="33"/>
        <v>12361.526979999999</v>
      </c>
      <c r="M70" s="15">
        <f t="shared" si="30"/>
        <v>2321.8352975999996</v>
      </c>
      <c r="N70" s="14">
        <f t="shared" si="31"/>
        <v>18544.165977599998</v>
      </c>
      <c r="O70" s="28">
        <f t="shared" si="32"/>
        <v>63965.385977600003</v>
      </c>
      <c r="P70" s="132">
        <f t="shared" si="34"/>
        <v>85.287181303466667</v>
      </c>
      <c r="T70" s="55"/>
    </row>
    <row r="71" spans="1:20">
      <c r="A71" s="12" t="s">
        <v>59</v>
      </c>
      <c r="B71" s="12" t="s">
        <v>14</v>
      </c>
      <c r="C71" s="12" t="s">
        <v>21</v>
      </c>
      <c r="D71" s="16">
        <v>20232.63</v>
      </c>
      <c r="E71" s="16">
        <v>11957.48</v>
      </c>
      <c r="F71" s="16">
        <v>10485.78</v>
      </c>
      <c r="G71" s="16">
        <v>0</v>
      </c>
      <c r="H71" s="15">
        <f t="shared" si="26"/>
        <v>2682.5091666666667</v>
      </c>
      <c r="I71" s="15">
        <f t="shared" si="27"/>
        <v>873.81500000000005</v>
      </c>
      <c r="J71" s="14">
        <f t="shared" si="28"/>
        <v>46232.214166666672</v>
      </c>
      <c r="K71" s="15">
        <f t="shared" si="29"/>
        <v>3929.7382041666674</v>
      </c>
      <c r="L71" s="15">
        <f t="shared" si="33"/>
        <v>12590.397019933333</v>
      </c>
      <c r="M71" s="15">
        <f t="shared" si="30"/>
        <v>2367.8997662666666</v>
      </c>
      <c r="N71" s="14">
        <f t="shared" si="31"/>
        <v>18888.034990366665</v>
      </c>
      <c r="O71" s="28">
        <f t="shared" si="32"/>
        <v>65120.249157033337</v>
      </c>
      <c r="P71" s="132">
        <f t="shared" si="34"/>
        <v>86.826998876044442</v>
      </c>
      <c r="T71" s="55"/>
    </row>
    <row r="72" spans="1:20">
      <c r="A72" s="12" t="s">
        <v>59</v>
      </c>
      <c r="B72" s="12" t="s">
        <v>14</v>
      </c>
      <c r="C72" s="12" t="s">
        <v>22</v>
      </c>
      <c r="D72" s="16">
        <v>20232.63</v>
      </c>
      <c r="E72" s="16">
        <v>13454.69</v>
      </c>
      <c r="F72" s="16">
        <v>10485.78</v>
      </c>
      <c r="G72" s="16">
        <v>0</v>
      </c>
      <c r="H72" s="15">
        <f t="shared" si="26"/>
        <v>2807.2766666666666</v>
      </c>
      <c r="I72" s="15">
        <f t="shared" si="27"/>
        <v>873.81500000000005</v>
      </c>
      <c r="J72" s="14">
        <f t="shared" si="28"/>
        <v>47854.191666666666</v>
      </c>
      <c r="K72" s="15">
        <f t="shared" si="29"/>
        <v>4067.6062916666669</v>
      </c>
      <c r="L72" s="15">
        <f t="shared" si="33"/>
        <v>13048.134042533335</v>
      </c>
      <c r="M72" s="15">
        <f t="shared" si="30"/>
        <v>2460.0280882666666</v>
      </c>
      <c r="N72" s="14">
        <f t="shared" si="31"/>
        <v>19575.76842246667</v>
      </c>
      <c r="O72" s="28">
        <f t="shared" si="32"/>
        <v>67429.960089133339</v>
      </c>
      <c r="P72" s="132">
        <f t="shared" si="34"/>
        <v>89.90661345217778</v>
      </c>
      <c r="T72" s="55"/>
    </row>
    <row r="73" spans="1:20">
      <c r="A73" s="12" t="s">
        <v>59</v>
      </c>
      <c r="B73" s="12" t="s">
        <v>14</v>
      </c>
      <c r="C73" s="12" t="s">
        <v>23</v>
      </c>
      <c r="D73" s="16">
        <v>20232.63</v>
      </c>
      <c r="E73" s="16">
        <v>14203.3</v>
      </c>
      <c r="F73" s="16">
        <v>10485.78</v>
      </c>
      <c r="G73" s="16">
        <v>0</v>
      </c>
      <c r="H73" s="15">
        <f t="shared" si="26"/>
        <v>2869.6608333333334</v>
      </c>
      <c r="I73" s="15">
        <f t="shared" si="27"/>
        <v>873.81500000000005</v>
      </c>
      <c r="J73" s="14">
        <f t="shared" si="28"/>
        <v>48665.185833333337</v>
      </c>
      <c r="K73" s="15">
        <f t="shared" si="29"/>
        <v>4136.5407958333335</v>
      </c>
      <c r="L73" s="15">
        <f t="shared" si="33"/>
        <v>13277.004082466668</v>
      </c>
      <c r="M73" s="15">
        <f t="shared" si="30"/>
        <v>2506.0925569333335</v>
      </c>
      <c r="N73" s="14">
        <f t="shared" si="31"/>
        <v>19919.637435233337</v>
      </c>
      <c r="O73" s="28">
        <f t="shared" si="32"/>
        <v>68584.823268566674</v>
      </c>
      <c r="P73" s="132">
        <f t="shared" si="34"/>
        <v>91.446431024755569</v>
      </c>
      <c r="T73" s="55"/>
    </row>
    <row r="74" spans="1:20">
      <c r="A74" s="12" t="s">
        <v>59</v>
      </c>
      <c r="B74" s="12" t="s">
        <v>14</v>
      </c>
      <c r="C74" s="12" t="s">
        <v>24</v>
      </c>
      <c r="D74" s="16">
        <v>20232.63</v>
      </c>
      <c r="E74" s="16">
        <v>15700.52</v>
      </c>
      <c r="F74" s="16">
        <v>10485.78</v>
      </c>
      <c r="G74" s="16">
        <v>0</v>
      </c>
      <c r="H74" s="15">
        <f t="shared" si="26"/>
        <v>2994.4291666666668</v>
      </c>
      <c r="I74" s="15">
        <f t="shared" si="27"/>
        <v>873.81500000000005</v>
      </c>
      <c r="J74" s="14">
        <f t="shared" si="28"/>
        <v>50287.174166666671</v>
      </c>
      <c r="K74" s="15">
        <f t="shared" si="29"/>
        <v>4274.4098041666675</v>
      </c>
      <c r="L74" s="15">
        <f t="shared" si="33"/>
        <v>13734.744162333334</v>
      </c>
      <c r="M74" s="15">
        <f t="shared" si="30"/>
        <v>2598.2214942666665</v>
      </c>
      <c r="N74" s="14">
        <f t="shared" si="31"/>
        <v>20607.375460766667</v>
      </c>
      <c r="O74" s="28">
        <f t="shared" si="32"/>
        <v>70894.549627433342</v>
      </c>
      <c r="P74" s="132">
        <f t="shared" si="34"/>
        <v>94.526066169911118</v>
      </c>
      <c r="T74" s="55"/>
    </row>
    <row r="75" spans="1:20">
      <c r="A75" s="12" t="s">
        <v>59</v>
      </c>
      <c r="B75" s="12" t="s">
        <v>14</v>
      </c>
      <c r="C75" s="12" t="s">
        <v>25</v>
      </c>
      <c r="D75" s="16">
        <v>20232.63</v>
      </c>
      <c r="E75" s="16">
        <v>16449.12</v>
      </c>
      <c r="F75" s="16">
        <v>10485.78</v>
      </c>
      <c r="G75" s="16">
        <v>0</v>
      </c>
      <c r="H75" s="15">
        <f t="shared" si="26"/>
        <v>3056.8125</v>
      </c>
      <c r="I75" s="15">
        <f t="shared" si="27"/>
        <v>873.81500000000005</v>
      </c>
      <c r="J75" s="14">
        <f t="shared" si="28"/>
        <v>51098.157500000001</v>
      </c>
      <c r="K75" s="15">
        <f t="shared" si="29"/>
        <v>4343.3433875000001</v>
      </c>
      <c r="L75" s="15">
        <f t="shared" si="33"/>
        <v>13963.611144999999</v>
      </c>
      <c r="M75" s="15">
        <f t="shared" si="30"/>
        <v>2644.2853475999996</v>
      </c>
      <c r="N75" s="14">
        <f t="shared" si="31"/>
        <v>20951.239880099998</v>
      </c>
      <c r="O75" s="28">
        <f t="shared" si="32"/>
        <v>72049.397380099996</v>
      </c>
      <c r="P75" s="132">
        <f t="shared" si="34"/>
        <v>96.065863173466667</v>
      </c>
      <c r="T75" s="55"/>
    </row>
    <row r="76" spans="1:20">
      <c r="A76" s="12" t="s">
        <v>59</v>
      </c>
      <c r="B76" s="12" t="s">
        <v>14</v>
      </c>
      <c r="C76" s="12" t="s">
        <v>26</v>
      </c>
      <c r="D76" s="16">
        <v>20232.63</v>
      </c>
      <c r="E76" s="16">
        <v>17946.34</v>
      </c>
      <c r="F76" s="16">
        <v>10485.78</v>
      </c>
      <c r="G76" s="16">
        <v>0</v>
      </c>
      <c r="H76" s="15">
        <f t="shared" si="26"/>
        <v>3181.5808333333334</v>
      </c>
      <c r="I76" s="15">
        <f t="shared" si="27"/>
        <v>873.81500000000005</v>
      </c>
      <c r="J76" s="14">
        <f t="shared" si="28"/>
        <v>52720.145833333336</v>
      </c>
      <c r="K76" s="15">
        <f t="shared" si="29"/>
        <v>4481.2123958333341</v>
      </c>
      <c r="L76" s="15">
        <f t="shared" si="33"/>
        <v>14421.351224866667</v>
      </c>
      <c r="M76" s="15">
        <f t="shared" si="30"/>
        <v>2736.414284933333</v>
      </c>
      <c r="N76" s="14">
        <f t="shared" si="31"/>
        <v>21638.977905633332</v>
      </c>
      <c r="O76" s="28">
        <f t="shared" si="32"/>
        <v>74359.123738966664</v>
      </c>
      <c r="P76" s="132">
        <f t="shared" si="34"/>
        <v>99.145498318622217</v>
      </c>
      <c r="T76" s="55"/>
    </row>
    <row r="77" spans="1:20">
      <c r="A77" s="12" t="s">
        <v>59</v>
      </c>
      <c r="B77" s="12" t="s">
        <v>14</v>
      </c>
      <c r="C77" s="12" t="s">
        <v>27</v>
      </c>
      <c r="D77" s="16">
        <v>20232.63</v>
      </c>
      <c r="E77" s="16">
        <v>18694.939999999999</v>
      </c>
      <c r="F77" s="16">
        <v>10485.78</v>
      </c>
      <c r="G77" s="16">
        <v>0</v>
      </c>
      <c r="H77" s="15">
        <f t="shared" si="26"/>
        <v>3243.9641666666666</v>
      </c>
      <c r="I77" s="15">
        <f t="shared" si="27"/>
        <v>873.81500000000005</v>
      </c>
      <c r="J77" s="14">
        <f t="shared" si="28"/>
        <v>53531.129166666666</v>
      </c>
      <c r="K77" s="15">
        <f t="shared" si="29"/>
        <v>4550.1459791666666</v>
      </c>
      <c r="L77" s="15">
        <f t="shared" si="33"/>
        <v>14650.218207533333</v>
      </c>
      <c r="M77" s="15">
        <f t="shared" si="30"/>
        <v>2782.4781382666665</v>
      </c>
      <c r="N77" s="14">
        <f t="shared" si="31"/>
        <v>21982.842324966667</v>
      </c>
      <c r="O77" s="28">
        <f t="shared" si="32"/>
        <v>75513.971491633332</v>
      </c>
      <c r="P77" s="132">
        <f t="shared" si="34"/>
        <v>100.68529532217778</v>
      </c>
      <c r="T77" s="55"/>
    </row>
    <row r="78" spans="1:20">
      <c r="A78" s="12" t="s">
        <v>59</v>
      </c>
      <c r="B78" s="12" t="s">
        <v>14</v>
      </c>
      <c r="C78" s="12" t="s">
        <v>28</v>
      </c>
      <c r="D78" s="16">
        <v>20232.63</v>
      </c>
      <c r="E78" s="16">
        <v>20192.169999999998</v>
      </c>
      <c r="F78" s="16">
        <v>10485.78</v>
      </c>
      <c r="G78" s="16">
        <v>0</v>
      </c>
      <c r="H78" s="15">
        <f t="shared" si="26"/>
        <v>3368.7333333333336</v>
      </c>
      <c r="I78" s="15">
        <f t="shared" si="27"/>
        <v>873.81500000000005</v>
      </c>
      <c r="J78" s="14">
        <f t="shared" si="28"/>
        <v>55153.128333333341</v>
      </c>
      <c r="K78" s="15">
        <f t="shared" si="29"/>
        <v>4688.0159083333347</v>
      </c>
      <c r="L78" s="15">
        <f t="shared" si="33"/>
        <v>15107.961344666666</v>
      </c>
      <c r="M78" s="15">
        <f t="shared" si="30"/>
        <v>2874.6076909333342</v>
      </c>
      <c r="N78" s="14">
        <f t="shared" si="31"/>
        <v>22670.584943933336</v>
      </c>
      <c r="O78" s="28">
        <f t="shared" si="32"/>
        <v>77823.713277266681</v>
      </c>
      <c r="P78" s="132">
        <f t="shared" si="34"/>
        <v>103.76495103635557</v>
      </c>
      <c r="T78" s="55"/>
    </row>
    <row r="79" spans="1:20">
      <c r="A79" s="12" t="s">
        <v>59</v>
      </c>
      <c r="B79" s="12" t="s">
        <v>14</v>
      </c>
      <c r="C79" s="12" t="s">
        <v>29</v>
      </c>
      <c r="D79" s="16">
        <v>20232.63</v>
      </c>
      <c r="E79" s="16">
        <v>1618.61</v>
      </c>
      <c r="F79" s="16">
        <v>10485.78</v>
      </c>
      <c r="G79" s="16">
        <v>0</v>
      </c>
      <c r="H79" s="15">
        <f t="shared" si="26"/>
        <v>1820.9366666666667</v>
      </c>
      <c r="I79" s="15">
        <f t="shared" si="27"/>
        <v>873.81500000000005</v>
      </c>
      <c r="J79" s="14">
        <f t="shared" si="28"/>
        <v>35031.771666666675</v>
      </c>
      <c r="K79" s="15">
        <f t="shared" si="29"/>
        <v>2977.7005916666676</v>
      </c>
      <c r="L79" s="15">
        <f t="shared" si="33"/>
        <v>9429.5287577333347</v>
      </c>
      <c r="M79" s="15">
        <f t="shared" si="30"/>
        <v>1731.7146322666665</v>
      </c>
      <c r="N79" s="14">
        <f t="shared" si="31"/>
        <v>14138.943981666669</v>
      </c>
      <c r="O79" s="28">
        <f t="shared" si="32"/>
        <v>49170.715648333346</v>
      </c>
      <c r="P79" s="132">
        <f t="shared" si="34"/>
        <v>65.560954197777789</v>
      </c>
      <c r="T79" s="55"/>
    </row>
    <row r="80" spans="1:20">
      <c r="A80" s="12" t="s">
        <v>59</v>
      </c>
      <c r="B80" s="12" t="s">
        <v>14</v>
      </c>
      <c r="C80" s="12" t="s">
        <v>30</v>
      </c>
      <c r="D80" s="16">
        <v>20232.63</v>
      </c>
      <c r="E80" s="16">
        <v>6474.43</v>
      </c>
      <c r="F80" s="16">
        <v>10485.78</v>
      </c>
      <c r="G80" s="16">
        <v>0</v>
      </c>
      <c r="H80" s="15">
        <f t="shared" si="26"/>
        <v>2225.5883333333336</v>
      </c>
      <c r="I80" s="15">
        <f t="shared" si="27"/>
        <v>873.81500000000005</v>
      </c>
      <c r="J80" s="14">
        <f t="shared" si="28"/>
        <v>40292.243333333339</v>
      </c>
      <c r="K80" s="15">
        <f t="shared" si="29"/>
        <v>3424.8406833333343</v>
      </c>
      <c r="L80" s="15">
        <f t="shared" si="33"/>
        <v>10914.082420266668</v>
      </c>
      <c r="M80" s="15">
        <f t="shared" si="30"/>
        <v>2030.5094229333331</v>
      </c>
      <c r="N80" s="14">
        <f t="shared" si="31"/>
        <v>16369.432526533335</v>
      </c>
      <c r="O80" s="28">
        <f t="shared" si="32"/>
        <v>56661.675859866678</v>
      </c>
      <c r="P80" s="132">
        <f t="shared" si="34"/>
        <v>75.548901146488902</v>
      </c>
      <c r="T80" s="55"/>
    </row>
    <row r="81" spans="1:25">
      <c r="A81" s="12" t="s">
        <v>59</v>
      </c>
      <c r="B81" s="12" t="s">
        <v>14</v>
      </c>
      <c r="C81" s="12" t="s">
        <v>31</v>
      </c>
      <c r="D81" s="16">
        <v>20232.63</v>
      </c>
      <c r="E81" s="16">
        <v>10460.27</v>
      </c>
      <c r="F81" s="16">
        <v>10485.78</v>
      </c>
      <c r="G81" s="16">
        <v>0</v>
      </c>
      <c r="H81" s="15">
        <f t="shared" si="26"/>
        <v>2557.7416666666668</v>
      </c>
      <c r="I81" s="15">
        <f t="shared" si="27"/>
        <v>873.81500000000005</v>
      </c>
      <c r="J81" s="14">
        <f t="shared" si="28"/>
        <v>44610.236666666671</v>
      </c>
      <c r="K81" s="15">
        <f t="shared" si="29"/>
        <v>3791.8701166666674</v>
      </c>
      <c r="L81" s="15">
        <f t="shared" si="33"/>
        <v>12132.659997333334</v>
      </c>
      <c r="M81" s="15">
        <f t="shared" si="30"/>
        <v>2275.771444266667</v>
      </c>
      <c r="N81" s="14">
        <f t="shared" si="31"/>
        <v>18200.301558266667</v>
      </c>
      <c r="O81" s="28">
        <f t="shared" si="32"/>
        <v>62810.538224933334</v>
      </c>
      <c r="P81" s="132">
        <f t="shared" si="34"/>
        <v>83.747384299911118</v>
      </c>
      <c r="T81" s="55"/>
    </row>
    <row r="82" spans="1:25">
      <c r="A82" s="12" t="s">
        <v>59</v>
      </c>
      <c r="B82" s="12" t="s">
        <v>14</v>
      </c>
      <c r="C82" s="12" t="s">
        <v>32</v>
      </c>
      <c r="D82" s="16">
        <v>20232.63</v>
      </c>
      <c r="E82" s="16">
        <v>12706.09</v>
      </c>
      <c r="F82" s="16">
        <v>10485.78</v>
      </c>
      <c r="G82" s="16">
        <v>0</v>
      </c>
      <c r="H82" s="15">
        <f t="shared" si="26"/>
        <v>2744.8933333333334</v>
      </c>
      <c r="I82" s="15">
        <f t="shared" si="27"/>
        <v>873.81500000000005</v>
      </c>
      <c r="J82" s="14">
        <f t="shared" si="28"/>
        <v>47043.208333333336</v>
      </c>
      <c r="K82" s="15">
        <f t="shared" si="29"/>
        <v>3998.672708333334</v>
      </c>
      <c r="L82" s="15">
        <f t="shared" si="33"/>
        <v>12819.267059866668</v>
      </c>
      <c r="M82" s="15">
        <f t="shared" si="30"/>
        <v>2413.9642349333335</v>
      </c>
      <c r="N82" s="14">
        <f t="shared" si="31"/>
        <v>19231.904003133335</v>
      </c>
      <c r="O82" s="28">
        <f t="shared" si="32"/>
        <v>66275.112336466671</v>
      </c>
      <c r="P82" s="132">
        <f t="shared" si="34"/>
        <v>88.366816448622231</v>
      </c>
      <c r="T82" s="55"/>
    </row>
    <row r="83" spans="1:25">
      <c r="A83" s="12" t="s">
        <v>59</v>
      </c>
      <c r="B83" s="12" t="s">
        <v>14</v>
      </c>
      <c r="C83" s="12" t="s">
        <v>33</v>
      </c>
      <c r="D83" s="16">
        <v>20232.63</v>
      </c>
      <c r="E83" s="16">
        <v>14951.91</v>
      </c>
      <c r="F83" s="16">
        <v>10485.78</v>
      </c>
      <c r="G83" s="16">
        <v>0</v>
      </c>
      <c r="H83" s="15">
        <f t="shared" si="26"/>
        <v>2932.0450000000001</v>
      </c>
      <c r="I83" s="15">
        <f t="shared" si="27"/>
        <v>873.81500000000005</v>
      </c>
      <c r="J83" s="14">
        <f t="shared" si="28"/>
        <v>49476.18</v>
      </c>
      <c r="K83" s="15">
        <f t="shared" si="29"/>
        <v>4205.4753000000001</v>
      </c>
      <c r="L83" s="15">
        <f t="shared" si="33"/>
        <v>13505.874122399999</v>
      </c>
      <c r="M83" s="15">
        <f t="shared" si="30"/>
        <v>2552.1570256</v>
      </c>
      <c r="N83" s="14">
        <f t="shared" si="31"/>
        <v>20263.506448</v>
      </c>
      <c r="O83" s="28">
        <f t="shared" si="32"/>
        <v>69739.686447999993</v>
      </c>
      <c r="P83" s="132">
        <f t="shared" si="34"/>
        <v>92.986248597333329</v>
      </c>
      <c r="T83" s="55"/>
    </row>
    <row r="84" spans="1:25">
      <c r="A84" s="12" t="s">
        <v>59</v>
      </c>
      <c r="B84" s="12" t="s">
        <v>14</v>
      </c>
      <c r="C84" s="12" t="s">
        <v>34</v>
      </c>
      <c r="D84" s="16">
        <v>20232.63</v>
      </c>
      <c r="E84" s="16">
        <v>17197.73</v>
      </c>
      <c r="F84" s="16">
        <v>10485.78</v>
      </c>
      <c r="G84" s="16">
        <v>0</v>
      </c>
      <c r="H84" s="15">
        <f t="shared" si="26"/>
        <v>3119.1966666666667</v>
      </c>
      <c r="I84" s="15">
        <f t="shared" si="27"/>
        <v>873.81500000000005</v>
      </c>
      <c r="J84" s="14">
        <f t="shared" si="28"/>
        <v>51909.151666666672</v>
      </c>
      <c r="K84" s="15">
        <f t="shared" si="29"/>
        <v>4412.2778916666675</v>
      </c>
      <c r="L84" s="15">
        <f t="shared" si="33"/>
        <v>14192.481184933335</v>
      </c>
      <c r="M84" s="15">
        <f t="shared" si="30"/>
        <v>2690.3498162666669</v>
      </c>
      <c r="N84" s="14">
        <f t="shared" si="31"/>
        <v>21295.108892866669</v>
      </c>
      <c r="O84" s="28">
        <f t="shared" si="32"/>
        <v>73204.260559533344</v>
      </c>
      <c r="P84" s="132">
        <f t="shared" si="34"/>
        <v>97.605680746044456</v>
      </c>
      <c r="T84" s="55"/>
    </row>
    <row r="85" spans="1:25">
      <c r="A85" s="12" t="s">
        <v>59</v>
      </c>
      <c r="B85" s="12" t="s">
        <v>14</v>
      </c>
      <c r="C85" s="12" t="s">
        <v>35</v>
      </c>
      <c r="D85" s="16">
        <v>20232.63</v>
      </c>
      <c r="E85" s="16">
        <v>19443.560000000001</v>
      </c>
      <c r="F85" s="16">
        <v>10485.78</v>
      </c>
      <c r="G85" s="16">
        <v>0</v>
      </c>
      <c r="H85" s="15">
        <f t="shared" si="26"/>
        <v>3306.3491666666669</v>
      </c>
      <c r="I85" s="15">
        <f t="shared" si="27"/>
        <v>873.81500000000005</v>
      </c>
      <c r="J85" s="14">
        <f t="shared" si="28"/>
        <v>54342.13416666667</v>
      </c>
      <c r="K85" s="15">
        <f t="shared" si="29"/>
        <v>4619.0814041666672</v>
      </c>
      <c r="L85" s="15">
        <f t="shared" si="33"/>
        <v>14879.091304733332</v>
      </c>
      <c r="M85" s="15">
        <f t="shared" si="30"/>
        <v>2828.5432222666664</v>
      </c>
      <c r="N85" s="14">
        <f t="shared" si="31"/>
        <v>22326.715931166666</v>
      </c>
      <c r="O85" s="28">
        <f t="shared" si="32"/>
        <v>76668.850097833332</v>
      </c>
      <c r="P85" s="132">
        <f t="shared" si="34"/>
        <v>102.22513346377778</v>
      </c>
      <c r="T85" s="55"/>
    </row>
    <row r="86" spans="1:25">
      <c r="A86" s="12" t="s">
        <v>59</v>
      </c>
      <c r="B86" s="12" t="s">
        <v>14</v>
      </c>
      <c r="C86" s="12" t="s">
        <v>36</v>
      </c>
      <c r="D86" s="16">
        <v>20232.63</v>
      </c>
      <c r="E86" s="16">
        <v>1618.61</v>
      </c>
      <c r="F86" s="16">
        <v>10485.78</v>
      </c>
      <c r="G86" s="16">
        <v>0</v>
      </c>
      <c r="H86" s="15">
        <f t="shared" si="26"/>
        <v>1820.9366666666667</v>
      </c>
      <c r="I86" s="15">
        <f t="shared" si="27"/>
        <v>873.81500000000005</v>
      </c>
      <c r="J86" s="14">
        <f t="shared" si="28"/>
        <v>35031.771666666675</v>
      </c>
      <c r="K86" s="15">
        <f t="shared" si="29"/>
        <v>2977.7005916666676</v>
      </c>
      <c r="L86" s="15">
        <f t="shared" si="33"/>
        <v>9429.5287577333347</v>
      </c>
      <c r="M86" s="15">
        <f t="shared" si="30"/>
        <v>1731.7146322666665</v>
      </c>
      <c r="N86" s="14">
        <f t="shared" si="31"/>
        <v>14138.943981666669</v>
      </c>
      <c r="O86" s="28">
        <f t="shared" si="32"/>
        <v>49170.715648333346</v>
      </c>
      <c r="P86" s="132">
        <f t="shared" si="34"/>
        <v>65.560954197777789</v>
      </c>
      <c r="T86" s="55"/>
    </row>
    <row r="87" spans="1:25">
      <c r="A87" s="12" t="s">
        <v>59</v>
      </c>
      <c r="B87" s="12" t="s">
        <v>14</v>
      </c>
      <c r="C87" s="12" t="s">
        <v>37</v>
      </c>
      <c r="D87" s="16">
        <v>20232.63</v>
      </c>
      <c r="E87" s="16">
        <v>6474.43</v>
      </c>
      <c r="F87" s="16">
        <v>10485.78</v>
      </c>
      <c r="G87" s="16">
        <v>0</v>
      </c>
      <c r="H87" s="15">
        <f t="shared" si="26"/>
        <v>2225.5883333333336</v>
      </c>
      <c r="I87" s="15">
        <f t="shared" si="27"/>
        <v>873.81500000000005</v>
      </c>
      <c r="J87" s="14">
        <f t="shared" si="28"/>
        <v>40292.243333333339</v>
      </c>
      <c r="K87" s="15">
        <f t="shared" si="29"/>
        <v>3424.8406833333343</v>
      </c>
      <c r="L87" s="15">
        <f t="shared" si="33"/>
        <v>10914.082420266668</v>
      </c>
      <c r="M87" s="15">
        <f t="shared" si="30"/>
        <v>2030.5094229333331</v>
      </c>
      <c r="N87" s="14">
        <f t="shared" si="31"/>
        <v>16369.432526533335</v>
      </c>
      <c r="O87" s="28">
        <f t="shared" si="32"/>
        <v>56661.675859866678</v>
      </c>
      <c r="P87" s="132">
        <f t="shared" si="34"/>
        <v>75.548901146488902</v>
      </c>
      <c r="T87" s="55"/>
    </row>
    <row r="88" spans="1:25">
      <c r="A88" s="12" t="s">
        <v>59</v>
      </c>
      <c r="B88" s="12" t="s">
        <v>14</v>
      </c>
      <c r="C88" s="12" t="s">
        <v>38</v>
      </c>
      <c r="D88" s="16">
        <v>20232.63</v>
      </c>
      <c r="E88" s="16">
        <v>10460.27</v>
      </c>
      <c r="F88" s="16">
        <v>10485.78</v>
      </c>
      <c r="G88" s="16">
        <v>0</v>
      </c>
      <c r="H88" s="15">
        <f t="shared" si="26"/>
        <v>2557.7416666666668</v>
      </c>
      <c r="I88" s="15">
        <f t="shared" si="27"/>
        <v>873.81500000000005</v>
      </c>
      <c r="J88" s="14">
        <f t="shared" si="28"/>
        <v>44610.236666666671</v>
      </c>
      <c r="K88" s="15">
        <f t="shared" si="29"/>
        <v>3791.8701166666674</v>
      </c>
      <c r="L88" s="15">
        <f t="shared" si="33"/>
        <v>12132.659997333334</v>
      </c>
      <c r="M88" s="15">
        <f t="shared" si="30"/>
        <v>2275.771444266667</v>
      </c>
      <c r="N88" s="14">
        <f t="shared" si="31"/>
        <v>18200.301558266667</v>
      </c>
      <c r="O88" s="28">
        <f t="shared" si="32"/>
        <v>62810.538224933334</v>
      </c>
      <c r="P88" s="132">
        <f t="shared" si="34"/>
        <v>83.747384299911118</v>
      </c>
      <c r="T88" s="55"/>
    </row>
    <row r="89" spans="1:25">
      <c r="A89" s="12" t="s">
        <v>59</v>
      </c>
      <c r="B89" s="12" t="s">
        <v>14</v>
      </c>
      <c r="C89" s="12" t="s">
        <v>39</v>
      </c>
      <c r="D89" s="16">
        <v>20232.63</v>
      </c>
      <c r="E89" s="16">
        <v>12706.09</v>
      </c>
      <c r="F89" s="16">
        <v>10485.78</v>
      </c>
      <c r="G89" s="16">
        <v>0</v>
      </c>
      <c r="H89" s="15">
        <f t="shared" si="26"/>
        <v>2744.8933333333334</v>
      </c>
      <c r="I89" s="15">
        <f t="shared" si="27"/>
        <v>873.81500000000005</v>
      </c>
      <c r="J89" s="14">
        <f t="shared" si="28"/>
        <v>47043.208333333336</v>
      </c>
      <c r="K89" s="15">
        <f t="shared" si="29"/>
        <v>3998.672708333334</v>
      </c>
      <c r="L89" s="15">
        <f t="shared" si="33"/>
        <v>12819.267059866668</v>
      </c>
      <c r="M89" s="15">
        <f t="shared" si="30"/>
        <v>2413.9642349333335</v>
      </c>
      <c r="N89" s="14">
        <f t="shared" si="31"/>
        <v>19231.904003133335</v>
      </c>
      <c r="O89" s="28">
        <f t="shared" si="32"/>
        <v>66275.112336466671</v>
      </c>
      <c r="P89" s="132">
        <f t="shared" si="34"/>
        <v>88.366816448622231</v>
      </c>
      <c r="T89" s="55"/>
    </row>
    <row r="90" spans="1:25">
      <c r="A90" s="12" t="s">
        <v>59</v>
      </c>
      <c r="B90" s="12" t="s">
        <v>14</v>
      </c>
      <c r="C90" s="12" t="s">
        <v>40</v>
      </c>
      <c r="D90" s="16">
        <v>20232.63</v>
      </c>
      <c r="E90" s="16">
        <v>14951.91</v>
      </c>
      <c r="F90" s="16">
        <v>10485.78</v>
      </c>
      <c r="G90" s="16">
        <v>0</v>
      </c>
      <c r="H90" s="15">
        <f t="shared" si="26"/>
        <v>2932.0450000000001</v>
      </c>
      <c r="I90" s="15">
        <f t="shared" si="27"/>
        <v>873.81500000000005</v>
      </c>
      <c r="J90" s="14">
        <f t="shared" si="28"/>
        <v>49476.18</v>
      </c>
      <c r="K90" s="15">
        <f t="shared" si="29"/>
        <v>4205.4753000000001</v>
      </c>
      <c r="L90" s="15">
        <f t="shared" si="33"/>
        <v>13505.874122399999</v>
      </c>
      <c r="M90" s="15">
        <f t="shared" si="30"/>
        <v>2552.1570256</v>
      </c>
      <c r="N90" s="14">
        <f t="shared" si="31"/>
        <v>20263.506448</v>
      </c>
      <c r="O90" s="28">
        <f t="shared" si="32"/>
        <v>69739.686447999993</v>
      </c>
      <c r="P90" s="132">
        <f t="shared" si="34"/>
        <v>92.986248597333329</v>
      </c>
      <c r="T90" s="55"/>
    </row>
    <row r="91" spans="1:25">
      <c r="A91" s="12" t="s">
        <v>59</v>
      </c>
      <c r="B91" s="12" t="s">
        <v>14</v>
      </c>
      <c r="C91" s="12" t="s">
        <v>41</v>
      </c>
      <c r="D91" s="16">
        <v>20232.63</v>
      </c>
      <c r="E91" s="16">
        <v>17197.73</v>
      </c>
      <c r="F91" s="16">
        <v>10485.78</v>
      </c>
      <c r="G91" s="16">
        <v>0</v>
      </c>
      <c r="H91" s="15">
        <f t="shared" si="26"/>
        <v>3119.1966666666667</v>
      </c>
      <c r="I91" s="15">
        <f t="shared" si="27"/>
        <v>873.81500000000005</v>
      </c>
      <c r="J91" s="14">
        <f t="shared" si="28"/>
        <v>51909.151666666672</v>
      </c>
      <c r="K91" s="15">
        <f t="shared" si="29"/>
        <v>4412.2778916666675</v>
      </c>
      <c r="L91" s="15">
        <f t="shared" si="33"/>
        <v>14192.481184933335</v>
      </c>
      <c r="M91" s="15">
        <f t="shared" si="30"/>
        <v>2690.3498162666669</v>
      </c>
      <c r="N91" s="14">
        <f t="shared" si="31"/>
        <v>21295.108892866669</v>
      </c>
      <c r="O91" s="28">
        <f t="shared" si="32"/>
        <v>73204.260559533344</v>
      </c>
      <c r="P91" s="132">
        <f t="shared" si="34"/>
        <v>97.605680746044456</v>
      </c>
      <c r="T91" s="55"/>
    </row>
    <row r="92" spans="1:25">
      <c r="A92" s="12" t="s">
        <v>59</v>
      </c>
      <c r="B92" s="12" t="s">
        <v>14</v>
      </c>
      <c r="C92" s="12" t="s">
        <v>42</v>
      </c>
      <c r="D92" s="16">
        <v>20232.63</v>
      </c>
      <c r="E92" s="16">
        <v>19443.560000000001</v>
      </c>
      <c r="F92" s="16">
        <v>10485.78</v>
      </c>
      <c r="G92" s="16">
        <v>0</v>
      </c>
      <c r="H92" s="15">
        <f t="shared" si="26"/>
        <v>3306.3491666666669</v>
      </c>
      <c r="I92" s="15">
        <f t="shared" si="27"/>
        <v>873.81500000000005</v>
      </c>
      <c r="J92" s="14">
        <f t="shared" si="28"/>
        <v>54342.13416666667</v>
      </c>
      <c r="K92" s="15">
        <f t="shared" si="29"/>
        <v>4619.0814041666672</v>
      </c>
      <c r="L92" s="15">
        <f t="shared" si="33"/>
        <v>14879.091304733332</v>
      </c>
      <c r="M92" s="15">
        <f t="shared" si="30"/>
        <v>2828.5432222666664</v>
      </c>
      <c r="N92" s="14">
        <f t="shared" si="31"/>
        <v>22326.715931166666</v>
      </c>
      <c r="O92" s="28">
        <f t="shared" si="32"/>
        <v>76668.850097833332</v>
      </c>
      <c r="P92" s="132">
        <f t="shared" si="34"/>
        <v>102.22513346377778</v>
      </c>
      <c r="T92" s="55"/>
    </row>
    <row r="93" spans="1:25" customFormat="1" ht="20.149999999999999" customHeight="1">
      <c r="A93" s="51"/>
      <c r="B93" s="52"/>
      <c r="C93" s="51"/>
      <c r="D93" s="52"/>
      <c r="E93" s="52"/>
      <c r="F93" s="52"/>
      <c r="G93" s="53"/>
      <c r="H93" s="54"/>
      <c r="I93" s="54"/>
      <c r="J93" s="54"/>
      <c r="K93" s="54"/>
      <c r="L93" s="54"/>
      <c r="M93" s="54"/>
      <c r="N93" s="54"/>
      <c r="O93" s="131"/>
      <c r="P93" s="133"/>
      <c r="Q93" s="58"/>
      <c r="R93" s="58"/>
      <c r="S93" s="58"/>
      <c r="T93" s="59"/>
      <c r="W93" s="49"/>
      <c r="X93" s="49"/>
      <c r="Y93" s="50"/>
    </row>
    <row r="94" spans="1:25">
      <c r="A94" s="12" t="s">
        <v>59</v>
      </c>
      <c r="B94" s="12" t="s">
        <v>44</v>
      </c>
      <c r="C94" s="12" t="s">
        <v>15</v>
      </c>
      <c r="D94" s="16">
        <v>27796.18</v>
      </c>
      <c r="E94" s="16">
        <v>0</v>
      </c>
      <c r="F94" s="16">
        <v>11006.23</v>
      </c>
      <c r="G94" s="16">
        <v>5833.51</v>
      </c>
      <c r="H94" s="56">
        <f t="shared" ref="H94:H104" si="35">(D94/12)+(E94/12)</f>
        <v>2316.3483333333334</v>
      </c>
      <c r="I94" s="56">
        <f t="shared" ref="I94:I104" si="36">F94/12</f>
        <v>917.18583333333333</v>
      </c>
      <c r="J94" s="57">
        <f t="shared" ref="J94:J104" si="37">D94+E94+F94+G94+H94+I94</f>
        <v>47869.454166666677</v>
      </c>
      <c r="K94" s="16">
        <f t="shared" ref="K94:K104" si="38">J94*0.085</f>
        <v>4068.9036041666677</v>
      </c>
      <c r="L94" s="16">
        <f t="shared" ref="L94:L104" si="39">J94/100*24.2</f>
        <v>11584.407908333336</v>
      </c>
      <c r="M94" s="16">
        <f t="shared" ref="M94:M104" si="40">(((D94+E94+H94)/100*80)+((F94+I94)/100*48))/100*7.1</f>
        <v>2116.7416209333333</v>
      </c>
      <c r="N94" s="57">
        <f t="shared" ref="N94:N122" si="41">K94+L94+M94</f>
        <v>17770.053133433335</v>
      </c>
      <c r="O94" s="29">
        <f t="shared" ref="O94:O122" si="42">J94+N94</f>
        <v>65639.507300100013</v>
      </c>
      <c r="P94" s="132">
        <f>O94/1500</f>
        <v>43.759671533400009</v>
      </c>
      <c r="Q94" s="10"/>
      <c r="T94" s="55"/>
    </row>
    <row r="95" spans="1:25">
      <c r="A95" s="12" t="s">
        <v>59</v>
      </c>
      <c r="B95" s="12" t="s">
        <v>44</v>
      </c>
      <c r="C95" s="12" t="s">
        <v>16</v>
      </c>
      <c r="D95" s="16">
        <v>27796.18</v>
      </c>
      <c r="E95" s="16">
        <v>4447.3999999999996</v>
      </c>
      <c r="F95" s="16">
        <v>11006.23</v>
      </c>
      <c r="G95" s="16">
        <v>6805.75</v>
      </c>
      <c r="H95" s="56">
        <f t="shared" si="35"/>
        <v>2686.9650000000001</v>
      </c>
      <c r="I95" s="56">
        <f t="shared" si="36"/>
        <v>917.18583333333333</v>
      </c>
      <c r="J95" s="57">
        <f t="shared" si="37"/>
        <v>53659.710833333331</v>
      </c>
      <c r="K95" s="16">
        <f t="shared" si="38"/>
        <v>4561.0754208333337</v>
      </c>
      <c r="L95" s="16">
        <f t="shared" si="39"/>
        <v>12985.650021666665</v>
      </c>
      <c r="M95" s="16">
        <f t="shared" si="40"/>
        <v>2390.4049676</v>
      </c>
      <c r="N95" s="57">
        <f t="shared" si="41"/>
        <v>19937.130410099999</v>
      </c>
      <c r="O95" s="29">
        <f t="shared" si="42"/>
        <v>73596.84124343333</v>
      </c>
      <c r="P95" s="132">
        <f t="shared" ref="P95:P122" si="43">O95/1500</f>
        <v>49.06456082895555</v>
      </c>
      <c r="T95" s="55"/>
    </row>
    <row r="96" spans="1:25">
      <c r="A96" s="12" t="s">
        <v>59</v>
      </c>
      <c r="B96" s="12" t="s">
        <v>44</v>
      </c>
      <c r="C96" s="12" t="s">
        <v>17</v>
      </c>
      <c r="D96" s="16">
        <v>27796.18</v>
      </c>
      <c r="E96" s="16">
        <v>6671.09</v>
      </c>
      <c r="F96" s="16">
        <v>11006.23</v>
      </c>
      <c r="G96" s="16">
        <v>7778</v>
      </c>
      <c r="H96" s="56">
        <f t="shared" si="35"/>
        <v>2872.2725</v>
      </c>
      <c r="I96" s="56">
        <f t="shared" si="36"/>
        <v>917.18583333333333</v>
      </c>
      <c r="J96" s="57">
        <f t="shared" si="37"/>
        <v>57040.958333333336</v>
      </c>
      <c r="K96" s="16">
        <f t="shared" si="38"/>
        <v>4848.4814583333336</v>
      </c>
      <c r="L96" s="16">
        <f t="shared" si="39"/>
        <v>13803.911916666666</v>
      </c>
      <c r="M96" s="16">
        <f t="shared" si="40"/>
        <v>2527.2360256000002</v>
      </c>
      <c r="N96" s="57">
        <f t="shared" si="41"/>
        <v>21179.629400599999</v>
      </c>
      <c r="O96" s="29">
        <f t="shared" si="42"/>
        <v>78220.587733933338</v>
      </c>
      <c r="P96" s="132">
        <f t="shared" si="43"/>
        <v>52.147058489288895</v>
      </c>
      <c r="T96" s="55"/>
    </row>
    <row r="97" spans="1:20">
      <c r="A97" s="12" t="s">
        <v>59</v>
      </c>
      <c r="B97" s="12" t="s">
        <v>44</v>
      </c>
      <c r="C97" s="12" t="s">
        <v>18</v>
      </c>
      <c r="D97" s="16">
        <v>27796.18</v>
      </c>
      <c r="E97" s="16">
        <v>11118.49</v>
      </c>
      <c r="F97" s="16">
        <v>11006.23</v>
      </c>
      <c r="G97" s="16">
        <v>8750.25</v>
      </c>
      <c r="H97" s="56">
        <f t="shared" si="35"/>
        <v>3242.8891666666668</v>
      </c>
      <c r="I97" s="56">
        <f t="shared" si="36"/>
        <v>917.18583333333333</v>
      </c>
      <c r="J97" s="57">
        <f t="shared" si="37"/>
        <v>62831.224999999999</v>
      </c>
      <c r="K97" s="16">
        <f t="shared" si="38"/>
        <v>5340.654125</v>
      </c>
      <c r="L97" s="16">
        <f t="shared" si="39"/>
        <v>15205.156449999999</v>
      </c>
      <c r="M97" s="16">
        <f t="shared" si="40"/>
        <v>2800.8993722666664</v>
      </c>
      <c r="N97" s="57">
        <f t="shared" si="41"/>
        <v>23346.709947266667</v>
      </c>
      <c r="O97" s="29">
        <f t="shared" si="42"/>
        <v>86177.934947266665</v>
      </c>
      <c r="P97" s="132">
        <f t="shared" si="43"/>
        <v>57.451956631511109</v>
      </c>
      <c r="T97" s="55"/>
    </row>
    <row r="98" spans="1:20">
      <c r="A98" s="12" t="s">
        <v>59</v>
      </c>
      <c r="B98" s="12" t="s">
        <v>44</v>
      </c>
      <c r="C98" s="12" t="s">
        <v>221</v>
      </c>
      <c r="D98" s="16">
        <v>27796.18</v>
      </c>
      <c r="E98" s="16">
        <v>11118.49</v>
      </c>
      <c r="F98" s="16">
        <v>11006.23</v>
      </c>
      <c r="G98" s="16">
        <v>7778</v>
      </c>
      <c r="H98" s="56">
        <f t="shared" si="35"/>
        <v>3242.8891666666668</v>
      </c>
      <c r="I98" s="56">
        <f t="shared" si="36"/>
        <v>917.18583333333333</v>
      </c>
      <c r="J98" s="57">
        <f t="shared" si="37"/>
        <v>61858.974999999999</v>
      </c>
      <c r="K98" s="16">
        <f t="shared" si="38"/>
        <v>5258.0128750000003</v>
      </c>
      <c r="L98" s="16">
        <f t="shared" si="39"/>
        <v>14969.871949999999</v>
      </c>
      <c r="M98" s="16">
        <f t="shared" si="40"/>
        <v>2800.8993722666664</v>
      </c>
      <c r="N98" s="57">
        <f t="shared" si="41"/>
        <v>23028.784197266668</v>
      </c>
      <c r="O98" s="29">
        <f t="shared" si="42"/>
        <v>84887.759197266671</v>
      </c>
      <c r="P98" s="132">
        <f t="shared" si="43"/>
        <v>56.591839464844448</v>
      </c>
      <c r="T98" s="55"/>
    </row>
    <row r="99" spans="1:20">
      <c r="A99" s="12" t="s">
        <v>59</v>
      </c>
      <c r="B99" s="12" t="s">
        <v>44</v>
      </c>
      <c r="C99" s="12" t="s">
        <v>19</v>
      </c>
      <c r="D99" s="16">
        <v>27796.18</v>
      </c>
      <c r="E99" s="16">
        <v>13342.17</v>
      </c>
      <c r="F99" s="16">
        <v>11006.23</v>
      </c>
      <c r="G99" s="16">
        <v>9722.49</v>
      </c>
      <c r="H99" s="56">
        <f t="shared" si="35"/>
        <v>3428.1958333333332</v>
      </c>
      <c r="I99" s="56">
        <f t="shared" si="36"/>
        <v>917.18583333333333</v>
      </c>
      <c r="J99" s="57">
        <f t="shared" si="37"/>
        <v>66212.45166666666</v>
      </c>
      <c r="K99" s="16">
        <f t="shared" si="38"/>
        <v>5628.0583916666665</v>
      </c>
      <c r="L99" s="16">
        <f t="shared" si="39"/>
        <v>16023.413303333333</v>
      </c>
      <c r="M99" s="16">
        <f t="shared" si="40"/>
        <v>2937.7298149333328</v>
      </c>
      <c r="N99" s="57">
        <f t="shared" si="41"/>
        <v>24589.201509933333</v>
      </c>
      <c r="O99" s="29">
        <f t="shared" si="42"/>
        <v>90801.653176599997</v>
      </c>
      <c r="P99" s="132">
        <f t="shared" si="43"/>
        <v>60.534435451066663</v>
      </c>
      <c r="T99" s="55"/>
    </row>
    <row r="100" spans="1:20">
      <c r="A100" s="12" t="s">
        <v>59</v>
      </c>
      <c r="B100" s="12" t="s">
        <v>44</v>
      </c>
      <c r="C100" s="12" t="s">
        <v>20</v>
      </c>
      <c r="D100" s="16">
        <v>27796.18</v>
      </c>
      <c r="E100" s="16">
        <v>18278.79</v>
      </c>
      <c r="F100" s="16">
        <v>11006.23</v>
      </c>
      <c r="G100" s="16">
        <v>9722.49</v>
      </c>
      <c r="H100" s="56">
        <f t="shared" si="35"/>
        <v>3839.5808333333334</v>
      </c>
      <c r="I100" s="56">
        <f t="shared" si="36"/>
        <v>917.18583333333333</v>
      </c>
      <c r="J100" s="57">
        <f t="shared" si="37"/>
        <v>71560.45666666668</v>
      </c>
      <c r="K100" s="16">
        <f t="shared" si="38"/>
        <v>6082.6388166666684</v>
      </c>
      <c r="L100" s="16">
        <f t="shared" si="39"/>
        <v>17317.630513333334</v>
      </c>
      <c r="M100" s="16">
        <f t="shared" si="40"/>
        <v>3241.4964989333334</v>
      </c>
      <c r="N100" s="57">
        <f t="shared" si="41"/>
        <v>26641.765828933338</v>
      </c>
      <c r="O100" s="29">
        <f t="shared" si="42"/>
        <v>98202.222495600014</v>
      </c>
      <c r="P100" s="132">
        <f t="shared" si="43"/>
        <v>65.468148330400012</v>
      </c>
      <c r="T100" s="55"/>
    </row>
    <row r="101" spans="1:20">
      <c r="A101" s="12" t="s">
        <v>59</v>
      </c>
      <c r="B101" s="12" t="s">
        <v>44</v>
      </c>
      <c r="C101" s="12" t="s">
        <v>21</v>
      </c>
      <c r="D101" s="16">
        <v>27796.18</v>
      </c>
      <c r="E101" s="16">
        <v>20747.080000000002</v>
      </c>
      <c r="F101" s="16">
        <v>11006.23</v>
      </c>
      <c r="G101" s="16">
        <v>9722.49</v>
      </c>
      <c r="H101" s="16">
        <f t="shared" si="35"/>
        <v>4045.2716666666665</v>
      </c>
      <c r="I101" s="16">
        <f t="shared" si="36"/>
        <v>917.18583333333333</v>
      </c>
      <c r="J101" s="57">
        <f t="shared" si="37"/>
        <v>74234.437500000015</v>
      </c>
      <c r="K101" s="16">
        <f>J101*0.085</f>
        <v>6309.9271875000013</v>
      </c>
      <c r="L101" s="16">
        <f t="shared" si="39"/>
        <v>17964.733875000002</v>
      </c>
      <c r="M101" s="16">
        <f t="shared" si="40"/>
        <v>3393.3786102666663</v>
      </c>
      <c r="N101" s="57">
        <f t="shared" si="41"/>
        <v>27668.03967276667</v>
      </c>
      <c r="O101" s="29">
        <f t="shared" si="42"/>
        <v>101902.47717276668</v>
      </c>
      <c r="P101" s="132">
        <f t="shared" si="43"/>
        <v>67.934984781844449</v>
      </c>
      <c r="Q101" s="10"/>
      <c r="T101" s="55"/>
    </row>
    <row r="102" spans="1:20">
      <c r="A102" s="12" t="s">
        <v>59</v>
      </c>
      <c r="B102" s="12" t="s">
        <v>44</v>
      </c>
      <c r="C102" s="12" t="s">
        <v>45</v>
      </c>
      <c r="D102" s="16">
        <v>27796.18</v>
      </c>
      <c r="E102" s="16">
        <v>25683.68</v>
      </c>
      <c r="F102" s="16">
        <v>11006.23</v>
      </c>
      <c r="G102" s="16">
        <v>9722.49</v>
      </c>
      <c r="H102" s="16">
        <f t="shared" si="35"/>
        <v>4456.6550000000007</v>
      </c>
      <c r="I102" s="16">
        <f t="shared" si="36"/>
        <v>917.18583333333333</v>
      </c>
      <c r="J102" s="57">
        <f t="shared" si="37"/>
        <v>79582.420833333337</v>
      </c>
      <c r="K102" s="16">
        <f t="shared" si="38"/>
        <v>6764.5057708333343</v>
      </c>
      <c r="L102" s="16">
        <f t="shared" si="39"/>
        <v>19258.945841666668</v>
      </c>
      <c r="M102" s="16">
        <f t="shared" si="40"/>
        <v>3697.1440635999998</v>
      </c>
      <c r="N102" s="57">
        <f t="shared" si="41"/>
        <v>29720.595676100002</v>
      </c>
      <c r="O102" s="29">
        <f t="shared" si="42"/>
        <v>109303.01650943334</v>
      </c>
      <c r="P102" s="132">
        <f t="shared" si="43"/>
        <v>72.868677672955556</v>
      </c>
      <c r="T102" s="55"/>
    </row>
    <row r="103" spans="1:20">
      <c r="A103" s="12" t="s">
        <v>59</v>
      </c>
      <c r="B103" s="12" t="s">
        <v>44</v>
      </c>
      <c r="C103" s="12" t="s">
        <v>23</v>
      </c>
      <c r="D103" s="16">
        <v>27796.18</v>
      </c>
      <c r="E103" s="16">
        <v>28151.99</v>
      </c>
      <c r="F103" s="16">
        <v>11006.23</v>
      </c>
      <c r="G103" s="16">
        <v>9722.49</v>
      </c>
      <c r="H103" s="16">
        <f t="shared" si="35"/>
        <v>4662.3474999999999</v>
      </c>
      <c r="I103" s="16">
        <f t="shared" si="36"/>
        <v>917.18583333333333</v>
      </c>
      <c r="J103" s="57">
        <f t="shared" si="37"/>
        <v>82256.42333333334</v>
      </c>
      <c r="K103" s="16">
        <f t="shared" si="38"/>
        <v>6991.7959833333343</v>
      </c>
      <c r="L103" s="16">
        <f t="shared" si="39"/>
        <v>19906.054446666669</v>
      </c>
      <c r="M103" s="16">
        <f t="shared" si="40"/>
        <v>3849.0274055999998</v>
      </c>
      <c r="N103" s="57">
        <f t="shared" si="41"/>
        <v>30746.877835600004</v>
      </c>
      <c r="O103" s="29">
        <f t="shared" si="42"/>
        <v>113003.30116893334</v>
      </c>
      <c r="P103" s="132">
        <f t="shared" si="43"/>
        <v>75.335534112622227</v>
      </c>
      <c r="T103" s="55"/>
    </row>
    <row r="104" spans="1:20">
      <c r="A104" s="12" t="s">
        <v>59</v>
      </c>
      <c r="B104" s="12" t="s">
        <v>44</v>
      </c>
      <c r="C104" s="12" t="s">
        <v>24</v>
      </c>
      <c r="D104" s="16">
        <v>27796.18</v>
      </c>
      <c r="E104" s="16">
        <v>33088.589999999997</v>
      </c>
      <c r="F104" s="16">
        <v>11006.23</v>
      </c>
      <c r="G104" s="16">
        <v>9722.49</v>
      </c>
      <c r="H104" s="16">
        <f t="shared" si="35"/>
        <v>5073.7308333333331</v>
      </c>
      <c r="I104" s="16">
        <f t="shared" si="36"/>
        <v>917.18583333333333</v>
      </c>
      <c r="J104" s="57">
        <f t="shared" si="37"/>
        <v>87604.406666666677</v>
      </c>
      <c r="K104" s="16">
        <f t="shared" si="38"/>
        <v>7446.3745666666682</v>
      </c>
      <c r="L104" s="16">
        <f t="shared" si="39"/>
        <v>21200.266413333338</v>
      </c>
      <c r="M104" s="16">
        <f t="shared" si="40"/>
        <v>4152.7928589333333</v>
      </c>
      <c r="N104" s="57">
        <f t="shared" si="41"/>
        <v>32799.433838933342</v>
      </c>
      <c r="O104" s="29">
        <f t="shared" si="42"/>
        <v>120403.84050560002</v>
      </c>
      <c r="P104" s="132">
        <f t="shared" si="43"/>
        <v>80.269227003733349</v>
      </c>
      <c r="T104" s="55"/>
    </row>
    <row r="105" spans="1:20">
      <c r="A105" s="12" t="s">
        <v>59</v>
      </c>
      <c r="B105" s="12" t="s">
        <v>44</v>
      </c>
      <c r="C105" s="12" t="s">
        <v>25</v>
      </c>
      <c r="D105" s="16">
        <v>27796.18</v>
      </c>
      <c r="E105" s="16">
        <v>34610.71</v>
      </c>
      <c r="F105" s="16">
        <v>11006.23</v>
      </c>
      <c r="G105" s="16">
        <v>9722.49</v>
      </c>
      <c r="H105" s="56">
        <f>(D105/12)+(E105/12)</f>
        <v>5200.5741666666672</v>
      </c>
      <c r="I105" s="56">
        <f>F105/12</f>
        <v>917.18583333333333</v>
      </c>
      <c r="J105" s="57">
        <f>D105+E105+F105+G105+H105+I105</f>
        <v>89253.37000000001</v>
      </c>
      <c r="K105" s="16">
        <f>J105*0.085</f>
        <v>7586.5364500000014</v>
      </c>
      <c r="L105" s="16">
        <f>J105/100*24.2</f>
        <v>21599.31554</v>
      </c>
      <c r="M105" s="16">
        <f>(((D105+E105+H105)/100*80)+((F105+I105)/100*48))/100*7.1</f>
        <v>4246.4539762666664</v>
      </c>
      <c r="N105" s="57">
        <f t="shared" si="41"/>
        <v>33432.305966266671</v>
      </c>
      <c r="O105" s="29">
        <f t="shared" si="42"/>
        <v>122685.67596626669</v>
      </c>
      <c r="P105" s="132">
        <f t="shared" si="43"/>
        <v>81.790450644177795</v>
      </c>
      <c r="T105" s="55"/>
    </row>
    <row r="106" spans="1:20">
      <c r="A106" s="12" t="s">
        <v>59</v>
      </c>
      <c r="B106" s="12" t="s">
        <v>44</v>
      </c>
      <c r="C106" s="12" t="s">
        <v>26</v>
      </c>
      <c r="D106" s="16">
        <v>27796.18</v>
      </c>
      <c r="E106" s="16">
        <v>37654.94</v>
      </c>
      <c r="F106" s="16">
        <v>11006.23</v>
      </c>
      <c r="G106" s="16">
        <v>9722.49</v>
      </c>
      <c r="H106" s="56">
        <f t="shared" ref="H106:H122" si="44">(D106/12)+(E106/12)</f>
        <v>5454.26</v>
      </c>
      <c r="I106" s="56">
        <f t="shared" ref="I106:I122" si="45">F106/12</f>
        <v>917.18583333333333</v>
      </c>
      <c r="J106" s="57">
        <f t="shared" ref="J106:J122" si="46">D106+E106+F106+G106+H106+I106</f>
        <v>92551.285833333342</v>
      </c>
      <c r="K106" s="16">
        <f t="shared" ref="K106:K122" si="47">J106*0.085</f>
        <v>7866.8592958333347</v>
      </c>
      <c r="L106" s="16">
        <f t="shared" ref="L106:L122" si="48">J106/100*24.2</f>
        <v>22397.411171666667</v>
      </c>
      <c r="M106" s="16">
        <f t="shared" ref="M106:M110" si="49">(((D106+E106+H106)/100*80)+((F106+I106)/100*48))/100*7.1</f>
        <v>4433.7755956000001</v>
      </c>
      <c r="N106" s="57">
        <f t="shared" si="41"/>
        <v>34698.046063100002</v>
      </c>
      <c r="O106" s="29">
        <f t="shared" si="42"/>
        <v>127249.33189643334</v>
      </c>
      <c r="P106" s="132">
        <f t="shared" si="43"/>
        <v>84.832887930955565</v>
      </c>
      <c r="T106" s="55"/>
    </row>
    <row r="107" spans="1:20">
      <c r="A107" s="12" t="s">
        <v>59</v>
      </c>
      <c r="B107" s="12" t="s">
        <v>44</v>
      </c>
      <c r="C107" s="12" t="s">
        <v>27</v>
      </c>
      <c r="D107" s="16">
        <v>27796.18</v>
      </c>
      <c r="E107" s="16">
        <v>39177.06</v>
      </c>
      <c r="F107" s="16">
        <v>11006.23</v>
      </c>
      <c r="G107" s="16">
        <v>9722.49</v>
      </c>
      <c r="H107" s="56">
        <f t="shared" si="44"/>
        <v>5581.1033333333326</v>
      </c>
      <c r="I107" s="56">
        <f t="shared" si="45"/>
        <v>917.18583333333333</v>
      </c>
      <c r="J107" s="57">
        <f t="shared" si="46"/>
        <v>94200.249166666661</v>
      </c>
      <c r="K107" s="16">
        <f t="shared" si="47"/>
        <v>8007.021179166667</v>
      </c>
      <c r="L107" s="16">
        <f t="shared" si="48"/>
        <v>22796.460298333332</v>
      </c>
      <c r="M107" s="16">
        <f t="shared" si="49"/>
        <v>4527.4367129333332</v>
      </c>
      <c r="N107" s="57">
        <f t="shared" si="41"/>
        <v>35330.918190433331</v>
      </c>
      <c r="O107" s="29">
        <f t="shared" si="42"/>
        <v>129531.1673571</v>
      </c>
      <c r="P107" s="132">
        <f t="shared" si="43"/>
        <v>86.354111571399997</v>
      </c>
      <c r="T107" s="55"/>
    </row>
    <row r="108" spans="1:20">
      <c r="A108" s="12" t="s">
        <v>59</v>
      </c>
      <c r="B108" s="12" t="s">
        <v>44</v>
      </c>
      <c r="C108" s="12" t="s">
        <v>28</v>
      </c>
      <c r="D108" s="16">
        <v>27796.18</v>
      </c>
      <c r="E108" s="16">
        <v>42221.29</v>
      </c>
      <c r="F108" s="16">
        <v>11006.23</v>
      </c>
      <c r="G108" s="16">
        <v>9722.49</v>
      </c>
      <c r="H108" s="56">
        <f t="shared" si="44"/>
        <v>5834.7891666666674</v>
      </c>
      <c r="I108" s="56">
        <f t="shared" si="45"/>
        <v>917.18583333333333</v>
      </c>
      <c r="J108" s="57">
        <f t="shared" si="46"/>
        <v>97498.165000000008</v>
      </c>
      <c r="K108" s="16">
        <f t="shared" si="47"/>
        <v>8287.3440250000021</v>
      </c>
      <c r="L108" s="16">
        <f t="shared" si="48"/>
        <v>23594.555930000002</v>
      </c>
      <c r="M108" s="16">
        <f t="shared" si="49"/>
        <v>4714.7583322666669</v>
      </c>
      <c r="N108" s="57">
        <f t="shared" si="41"/>
        <v>36596.65828726667</v>
      </c>
      <c r="O108" s="29">
        <f t="shared" si="42"/>
        <v>134094.82328726668</v>
      </c>
      <c r="P108" s="132">
        <f t="shared" si="43"/>
        <v>89.396548858177795</v>
      </c>
      <c r="T108" s="55"/>
    </row>
    <row r="109" spans="1:20">
      <c r="A109" s="12" t="s">
        <v>59</v>
      </c>
      <c r="B109" s="12" t="s">
        <v>44</v>
      </c>
      <c r="C109" s="12" t="s">
        <v>29</v>
      </c>
      <c r="D109" s="16">
        <v>27796.18</v>
      </c>
      <c r="E109" s="16">
        <v>2223.69</v>
      </c>
      <c r="F109" s="16">
        <v>11006.23</v>
      </c>
      <c r="G109" s="16">
        <v>6805.75</v>
      </c>
      <c r="H109" s="16">
        <f t="shared" si="44"/>
        <v>2501.6558333333332</v>
      </c>
      <c r="I109" s="16">
        <f t="shared" si="45"/>
        <v>917.18583333333333</v>
      </c>
      <c r="J109" s="57">
        <f t="shared" si="46"/>
        <v>51250.691666666666</v>
      </c>
      <c r="K109" s="16">
        <f t="shared" si="47"/>
        <v>4356.3087916666673</v>
      </c>
      <c r="L109" s="16">
        <f t="shared" si="48"/>
        <v>12402.667383333333</v>
      </c>
      <c r="M109" s="16">
        <f t="shared" si="49"/>
        <v>2253.5726789333335</v>
      </c>
      <c r="N109" s="57">
        <f t="shared" si="41"/>
        <v>19012.548853933335</v>
      </c>
      <c r="O109" s="29">
        <f t="shared" si="42"/>
        <v>70263.240520599997</v>
      </c>
      <c r="P109" s="132">
        <f t="shared" si="43"/>
        <v>46.842160347066667</v>
      </c>
      <c r="T109" s="55"/>
    </row>
    <row r="110" spans="1:20">
      <c r="A110" s="12" t="s">
        <v>59</v>
      </c>
      <c r="B110" s="12" t="s">
        <v>44</v>
      </c>
      <c r="C110" s="12" t="s">
        <v>46</v>
      </c>
      <c r="D110" s="16">
        <v>27796.18</v>
      </c>
      <c r="E110" s="16">
        <v>8894.7800000000007</v>
      </c>
      <c r="F110" s="16">
        <v>11006.23</v>
      </c>
      <c r="G110" s="16">
        <v>7778</v>
      </c>
      <c r="H110" s="16">
        <f t="shared" si="44"/>
        <v>3057.58</v>
      </c>
      <c r="I110" s="16">
        <f t="shared" si="45"/>
        <v>917.18583333333333</v>
      </c>
      <c r="J110" s="57">
        <f t="shared" si="46"/>
        <v>59449.955833333341</v>
      </c>
      <c r="K110" s="16">
        <f t="shared" si="47"/>
        <v>5053.2462458333339</v>
      </c>
      <c r="L110" s="16">
        <f t="shared" si="48"/>
        <v>14386.889311666668</v>
      </c>
      <c r="M110" s="16">
        <f t="shared" si="49"/>
        <v>2664.0670835999999</v>
      </c>
      <c r="N110" s="57">
        <f t="shared" si="41"/>
        <v>22104.202641100001</v>
      </c>
      <c r="O110" s="29">
        <f t="shared" si="42"/>
        <v>81554.158474433338</v>
      </c>
      <c r="P110" s="132">
        <f t="shared" si="43"/>
        <v>54.369438982955558</v>
      </c>
      <c r="T110" s="55"/>
    </row>
    <row r="111" spans="1:20">
      <c r="A111" s="12" t="s">
        <v>59</v>
      </c>
      <c r="B111" s="12" t="s">
        <v>44</v>
      </c>
      <c r="C111" s="12" t="s">
        <v>47</v>
      </c>
      <c r="D111" s="16">
        <v>27796.18</v>
      </c>
      <c r="E111" s="16">
        <v>15810.49</v>
      </c>
      <c r="F111" s="16">
        <v>11006.23</v>
      </c>
      <c r="G111" s="16">
        <v>9722.49</v>
      </c>
      <c r="H111" s="16">
        <f t="shared" si="44"/>
        <v>3633.8891666666668</v>
      </c>
      <c r="I111" s="16">
        <f t="shared" si="45"/>
        <v>917.18583333333333</v>
      </c>
      <c r="J111" s="57">
        <f t="shared" si="46"/>
        <v>68886.464999999997</v>
      </c>
      <c r="K111" s="16">
        <f t="shared" si="47"/>
        <v>5855.3495250000005</v>
      </c>
      <c r="L111" s="16">
        <f t="shared" si="48"/>
        <v>16670.524529999999</v>
      </c>
      <c r="M111" s="16">
        <f>(((D111+E111+H111)/100*80)+((F111+I111)/100*48))/100*7.1</f>
        <v>3089.6137722666667</v>
      </c>
      <c r="N111" s="57">
        <f t="shared" si="41"/>
        <v>25615.487827266668</v>
      </c>
      <c r="O111" s="29">
        <f t="shared" si="42"/>
        <v>94501.952827266665</v>
      </c>
      <c r="P111" s="132">
        <f t="shared" si="43"/>
        <v>63.001301884844445</v>
      </c>
      <c r="T111" s="55"/>
    </row>
    <row r="112" spans="1:20">
      <c r="A112" s="12" t="s">
        <v>59</v>
      </c>
      <c r="B112" s="12" t="s">
        <v>44</v>
      </c>
      <c r="C112" s="12" t="s">
        <v>48</v>
      </c>
      <c r="D112" s="16">
        <v>27796.18</v>
      </c>
      <c r="E112" s="16">
        <v>23215.39</v>
      </c>
      <c r="F112" s="16">
        <v>11006.23</v>
      </c>
      <c r="G112" s="16">
        <v>9722.49</v>
      </c>
      <c r="H112" s="16">
        <f t="shared" si="44"/>
        <v>4250.9641666666666</v>
      </c>
      <c r="I112" s="16">
        <f t="shared" si="45"/>
        <v>917.18583333333333</v>
      </c>
      <c r="J112" s="57">
        <f t="shared" si="46"/>
        <v>76908.440000000017</v>
      </c>
      <c r="K112" s="16">
        <f t="shared" si="47"/>
        <v>6537.2174000000023</v>
      </c>
      <c r="L112" s="16">
        <f t="shared" si="48"/>
        <v>18611.842480000003</v>
      </c>
      <c r="M112" s="16">
        <f t="shared" ref="M112:M122" si="50">(((D112+E112+H112)/100*80)+((F112+I112)/100*48))/100*7.1</f>
        <v>3545.2619522666664</v>
      </c>
      <c r="N112" s="57">
        <f t="shared" si="41"/>
        <v>28694.321832266673</v>
      </c>
      <c r="O112" s="29">
        <f t="shared" si="42"/>
        <v>105602.7618322667</v>
      </c>
      <c r="P112" s="132">
        <f t="shared" si="43"/>
        <v>70.401841221511134</v>
      </c>
      <c r="T112" s="55"/>
    </row>
    <row r="113" spans="1:25">
      <c r="A113" s="12" t="s">
        <v>59</v>
      </c>
      <c r="B113" s="12" t="s">
        <v>44</v>
      </c>
      <c r="C113" s="12" t="s">
        <v>49</v>
      </c>
      <c r="D113" s="16">
        <v>27796.18</v>
      </c>
      <c r="E113" s="16">
        <v>30620.27</v>
      </c>
      <c r="F113" s="16">
        <v>11006.23</v>
      </c>
      <c r="G113" s="16">
        <v>9722.49</v>
      </c>
      <c r="H113" s="16">
        <f t="shared" si="44"/>
        <v>4868.0375000000004</v>
      </c>
      <c r="I113" s="16">
        <f t="shared" si="45"/>
        <v>917.18583333333333</v>
      </c>
      <c r="J113" s="57">
        <f t="shared" si="46"/>
        <v>84930.393333333341</v>
      </c>
      <c r="K113" s="16">
        <f t="shared" si="47"/>
        <v>7219.0834333333341</v>
      </c>
      <c r="L113" s="16">
        <f t="shared" si="48"/>
        <v>20553.155186666667</v>
      </c>
      <c r="M113" s="16">
        <f t="shared" si="50"/>
        <v>4000.9089015999998</v>
      </c>
      <c r="N113" s="57">
        <f t="shared" si="41"/>
        <v>31773.1475216</v>
      </c>
      <c r="O113" s="29">
        <f t="shared" si="42"/>
        <v>116703.54085493334</v>
      </c>
      <c r="P113" s="132">
        <f t="shared" si="43"/>
        <v>77.802360569955553</v>
      </c>
      <c r="T113" s="55"/>
    </row>
    <row r="114" spans="1:25">
      <c r="A114" s="12" t="s">
        <v>59</v>
      </c>
      <c r="B114" s="12" t="s">
        <v>44</v>
      </c>
      <c r="C114" s="12" t="s">
        <v>50</v>
      </c>
      <c r="D114" s="16">
        <v>27796.18</v>
      </c>
      <c r="E114" s="16">
        <v>36132.83</v>
      </c>
      <c r="F114" s="16">
        <v>11006.23</v>
      </c>
      <c r="G114" s="16">
        <v>9722.49</v>
      </c>
      <c r="H114" s="16">
        <f t="shared" si="44"/>
        <v>5327.4174999999996</v>
      </c>
      <c r="I114" s="16">
        <f t="shared" si="45"/>
        <v>917.18583333333333</v>
      </c>
      <c r="J114" s="57">
        <f t="shared" si="46"/>
        <v>90902.333333333343</v>
      </c>
      <c r="K114" s="16">
        <f t="shared" si="47"/>
        <v>7726.6983333333346</v>
      </c>
      <c r="L114" s="16">
        <f t="shared" si="48"/>
        <v>21998.364666666668</v>
      </c>
      <c r="M114" s="16">
        <f t="shared" si="50"/>
        <v>4340.1150936000004</v>
      </c>
      <c r="N114" s="57">
        <f t="shared" si="41"/>
        <v>34065.1780936</v>
      </c>
      <c r="O114" s="29">
        <f t="shared" si="42"/>
        <v>124967.51142693334</v>
      </c>
      <c r="P114" s="132">
        <f t="shared" si="43"/>
        <v>83.311674284622228</v>
      </c>
      <c r="T114" s="55"/>
    </row>
    <row r="115" spans="1:25">
      <c r="A115" s="12" t="s">
        <v>59</v>
      </c>
      <c r="B115" s="12" t="s">
        <v>44</v>
      </c>
      <c r="C115" s="12" t="s">
        <v>208</v>
      </c>
      <c r="D115" s="16">
        <v>27796.18</v>
      </c>
      <c r="E115" s="16">
        <v>40699.19</v>
      </c>
      <c r="F115" s="16">
        <v>11006.23</v>
      </c>
      <c r="G115" s="16">
        <v>9722.49</v>
      </c>
      <c r="H115" s="16">
        <f t="shared" si="44"/>
        <v>5707.9475000000002</v>
      </c>
      <c r="I115" s="16">
        <f t="shared" si="45"/>
        <v>917.18583333333333</v>
      </c>
      <c r="J115" s="57">
        <f t="shared" si="46"/>
        <v>95849.223333333328</v>
      </c>
      <c r="K115" s="16">
        <f t="shared" si="47"/>
        <v>8147.1839833333333</v>
      </c>
      <c r="L115" s="16">
        <f t="shared" si="48"/>
        <v>23195.512046666663</v>
      </c>
      <c r="M115" s="16">
        <f t="shared" si="50"/>
        <v>4621.0984455999996</v>
      </c>
      <c r="N115" s="57">
        <f t="shared" si="41"/>
        <v>35963.794475599992</v>
      </c>
      <c r="O115" s="29">
        <f t="shared" si="42"/>
        <v>131813.01780893333</v>
      </c>
      <c r="P115" s="132">
        <f t="shared" si="43"/>
        <v>87.875345205955554</v>
      </c>
      <c r="T115" s="55"/>
    </row>
    <row r="116" spans="1:25">
      <c r="A116" s="12" t="s">
        <v>59</v>
      </c>
      <c r="B116" s="12" t="s">
        <v>44</v>
      </c>
      <c r="C116" s="12" t="s">
        <v>209</v>
      </c>
      <c r="D116" s="16">
        <v>27796.18</v>
      </c>
      <c r="E116" s="16">
        <v>2223.69</v>
      </c>
      <c r="F116" s="16">
        <v>11006.23</v>
      </c>
      <c r="G116" s="16">
        <v>6805.75</v>
      </c>
      <c r="H116" s="16">
        <f t="shared" si="44"/>
        <v>2501.6558333333332</v>
      </c>
      <c r="I116" s="16">
        <f t="shared" si="45"/>
        <v>917.18583333333333</v>
      </c>
      <c r="J116" s="57">
        <f t="shared" si="46"/>
        <v>51250.691666666666</v>
      </c>
      <c r="K116" s="16">
        <f t="shared" si="47"/>
        <v>4356.3087916666673</v>
      </c>
      <c r="L116" s="16">
        <f t="shared" si="48"/>
        <v>12402.667383333333</v>
      </c>
      <c r="M116" s="16">
        <f t="shared" si="50"/>
        <v>2253.5726789333335</v>
      </c>
      <c r="N116" s="57">
        <f t="shared" si="41"/>
        <v>19012.548853933335</v>
      </c>
      <c r="O116" s="29">
        <f t="shared" si="42"/>
        <v>70263.240520599997</v>
      </c>
      <c r="P116" s="132">
        <f t="shared" si="43"/>
        <v>46.842160347066667</v>
      </c>
      <c r="T116" s="55"/>
    </row>
    <row r="117" spans="1:25">
      <c r="A117" s="12" t="s">
        <v>59</v>
      </c>
      <c r="B117" s="12" t="s">
        <v>44</v>
      </c>
      <c r="C117" s="12" t="s">
        <v>210</v>
      </c>
      <c r="D117" s="16">
        <v>27796.18</v>
      </c>
      <c r="E117" s="16">
        <v>8894.7800000000007</v>
      </c>
      <c r="F117" s="16">
        <v>11006.23</v>
      </c>
      <c r="G117" s="16">
        <v>7778</v>
      </c>
      <c r="H117" s="16">
        <f t="shared" si="44"/>
        <v>3057.58</v>
      </c>
      <c r="I117" s="16">
        <f t="shared" si="45"/>
        <v>917.18583333333333</v>
      </c>
      <c r="J117" s="57">
        <f t="shared" si="46"/>
        <v>59449.955833333341</v>
      </c>
      <c r="K117" s="16">
        <f t="shared" si="47"/>
        <v>5053.2462458333339</v>
      </c>
      <c r="L117" s="16">
        <f t="shared" si="48"/>
        <v>14386.889311666668</v>
      </c>
      <c r="M117" s="16">
        <f t="shared" si="50"/>
        <v>2664.0670835999999</v>
      </c>
      <c r="N117" s="57">
        <f t="shared" si="41"/>
        <v>22104.202641100001</v>
      </c>
      <c r="O117" s="29">
        <f t="shared" si="42"/>
        <v>81554.158474433338</v>
      </c>
      <c r="P117" s="132">
        <f t="shared" si="43"/>
        <v>54.369438982955558</v>
      </c>
      <c r="T117" s="55"/>
    </row>
    <row r="118" spans="1:25">
      <c r="A118" s="12" t="s">
        <v>59</v>
      </c>
      <c r="B118" s="12" t="s">
        <v>44</v>
      </c>
      <c r="C118" s="12" t="s">
        <v>211</v>
      </c>
      <c r="D118" s="16">
        <v>27796.18</v>
      </c>
      <c r="E118" s="16">
        <v>15810.49</v>
      </c>
      <c r="F118" s="16">
        <v>11006.23</v>
      </c>
      <c r="G118" s="16">
        <v>9722.49</v>
      </c>
      <c r="H118" s="16">
        <f t="shared" si="44"/>
        <v>3633.8891666666668</v>
      </c>
      <c r="I118" s="16">
        <f t="shared" si="45"/>
        <v>917.18583333333333</v>
      </c>
      <c r="J118" s="57">
        <f t="shared" si="46"/>
        <v>68886.464999999997</v>
      </c>
      <c r="K118" s="16">
        <f t="shared" si="47"/>
        <v>5855.3495250000005</v>
      </c>
      <c r="L118" s="16">
        <f t="shared" si="48"/>
        <v>16670.524529999999</v>
      </c>
      <c r="M118" s="16">
        <f t="shared" si="50"/>
        <v>3089.6137722666667</v>
      </c>
      <c r="N118" s="57">
        <f t="shared" si="41"/>
        <v>25615.487827266668</v>
      </c>
      <c r="O118" s="29">
        <f t="shared" si="42"/>
        <v>94501.952827266665</v>
      </c>
      <c r="P118" s="132">
        <f t="shared" si="43"/>
        <v>63.001301884844445</v>
      </c>
      <c r="T118" s="55"/>
    </row>
    <row r="119" spans="1:25">
      <c r="A119" s="12" t="s">
        <v>59</v>
      </c>
      <c r="B119" s="12" t="s">
        <v>44</v>
      </c>
      <c r="C119" s="12" t="s">
        <v>212</v>
      </c>
      <c r="D119" s="16">
        <v>27796.18</v>
      </c>
      <c r="E119" s="16">
        <v>23215.39</v>
      </c>
      <c r="F119" s="16">
        <v>11006.23</v>
      </c>
      <c r="G119" s="16">
        <v>9722.49</v>
      </c>
      <c r="H119" s="16">
        <f t="shared" si="44"/>
        <v>4250.9641666666666</v>
      </c>
      <c r="I119" s="16">
        <f t="shared" si="45"/>
        <v>917.18583333333333</v>
      </c>
      <c r="J119" s="57">
        <f t="shared" si="46"/>
        <v>76908.440000000017</v>
      </c>
      <c r="K119" s="16">
        <f t="shared" si="47"/>
        <v>6537.2174000000023</v>
      </c>
      <c r="L119" s="16">
        <f t="shared" si="48"/>
        <v>18611.842480000003</v>
      </c>
      <c r="M119" s="16">
        <f t="shared" si="50"/>
        <v>3545.2619522666664</v>
      </c>
      <c r="N119" s="57">
        <f t="shared" si="41"/>
        <v>28694.321832266673</v>
      </c>
      <c r="O119" s="29">
        <f t="shared" si="42"/>
        <v>105602.7618322667</v>
      </c>
      <c r="P119" s="132">
        <f t="shared" si="43"/>
        <v>70.401841221511134</v>
      </c>
      <c r="T119" s="55"/>
    </row>
    <row r="120" spans="1:25">
      <c r="A120" s="12" t="s">
        <v>59</v>
      </c>
      <c r="B120" s="12" t="s">
        <v>44</v>
      </c>
      <c r="C120" s="12" t="s">
        <v>213</v>
      </c>
      <c r="D120" s="16">
        <v>27796.18</v>
      </c>
      <c r="E120" s="16">
        <v>30620.27</v>
      </c>
      <c r="F120" s="16">
        <v>11006.23</v>
      </c>
      <c r="G120" s="16">
        <v>9722.49</v>
      </c>
      <c r="H120" s="16">
        <f t="shared" si="44"/>
        <v>4868.0375000000004</v>
      </c>
      <c r="I120" s="16">
        <f t="shared" si="45"/>
        <v>917.18583333333333</v>
      </c>
      <c r="J120" s="57">
        <f t="shared" si="46"/>
        <v>84930.393333333341</v>
      </c>
      <c r="K120" s="16">
        <f t="shared" si="47"/>
        <v>7219.0834333333341</v>
      </c>
      <c r="L120" s="16">
        <f t="shared" si="48"/>
        <v>20553.155186666667</v>
      </c>
      <c r="M120" s="16">
        <f t="shared" si="50"/>
        <v>4000.9089015999998</v>
      </c>
      <c r="N120" s="57">
        <f t="shared" si="41"/>
        <v>31773.1475216</v>
      </c>
      <c r="O120" s="29">
        <f t="shared" si="42"/>
        <v>116703.54085493334</v>
      </c>
      <c r="P120" s="132">
        <f t="shared" si="43"/>
        <v>77.802360569955553</v>
      </c>
      <c r="T120" s="55"/>
    </row>
    <row r="121" spans="1:25">
      <c r="A121" s="12" t="s">
        <v>59</v>
      </c>
      <c r="B121" s="12" t="s">
        <v>44</v>
      </c>
      <c r="C121" s="12" t="s">
        <v>214</v>
      </c>
      <c r="D121" s="16">
        <v>27796.18</v>
      </c>
      <c r="E121" s="16">
        <v>36132.83</v>
      </c>
      <c r="F121" s="16">
        <v>11006.23</v>
      </c>
      <c r="G121" s="16">
        <v>9722.49</v>
      </c>
      <c r="H121" s="16">
        <f t="shared" si="44"/>
        <v>5327.4174999999996</v>
      </c>
      <c r="I121" s="16">
        <f t="shared" si="45"/>
        <v>917.18583333333333</v>
      </c>
      <c r="J121" s="57">
        <f t="shared" si="46"/>
        <v>90902.333333333343</v>
      </c>
      <c r="K121" s="16">
        <f t="shared" si="47"/>
        <v>7726.6983333333346</v>
      </c>
      <c r="L121" s="16">
        <f t="shared" si="48"/>
        <v>21998.364666666668</v>
      </c>
      <c r="M121" s="16">
        <f t="shared" si="50"/>
        <v>4340.1150936000004</v>
      </c>
      <c r="N121" s="57">
        <f t="shared" si="41"/>
        <v>34065.1780936</v>
      </c>
      <c r="O121" s="29">
        <f t="shared" si="42"/>
        <v>124967.51142693334</v>
      </c>
      <c r="P121" s="132">
        <f t="shared" si="43"/>
        <v>83.311674284622228</v>
      </c>
      <c r="T121" s="55"/>
    </row>
    <row r="122" spans="1:25">
      <c r="A122" s="12" t="s">
        <v>59</v>
      </c>
      <c r="B122" s="12" t="s">
        <v>44</v>
      </c>
      <c r="C122" s="12" t="s">
        <v>215</v>
      </c>
      <c r="D122" s="16">
        <v>27796.18</v>
      </c>
      <c r="E122" s="16">
        <v>40699.19</v>
      </c>
      <c r="F122" s="16">
        <v>11006.23</v>
      </c>
      <c r="G122" s="16">
        <v>9722.49</v>
      </c>
      <c r="H122" s="16">
        <f t="shared" si="44"/>
        <v>5707.9475000000002</v>
      </c>
      <c r="I122" s="16">
        <f t="shared" si="45"/>
        <v>917.18583333333333</v>
      </c>
      <c r="J122" s="57">
        <f t="shared" si="46"/>
        <v>95849.223333333328</v>
      </c>
      <c r="K122" s="16">
        <f t="shared" si="47"/>
        <v>8147.1839833333333</v>
      </c>
      <c r="L122" s="16">
        <f t="shared" si="48"/>
        <v>23195.512046666663</v>
      </c>
      <c r="M122" s="16">
        <f t="shared" si="50"/>
        <v>4621.0984455999996</v>
      </c>
      <c r="N122" s="57">
        <f t="shared" si="41"/>
        <v>35963.794475599992</v>
      </c>
      <c r="O122" s="29">
        <f t="shared" si="42"/>
        <v>131813.01780893333</v>
      </c>
      <c r="P122" s="132">
        <f t="shared" si="43"/>
        <v>87.875345205955554</v>
      </c>
      <c r="T122" s="55"/>
    </row>
    <row r="123" spans="1:25" customFormat="1" ht="20.149999999999999" customHeight="1">
      <c r="A123" s="51"/>
      <c r="B123" s="52"/>
      <c r="C123" s="51"/>
      <c r="D123" s="52"/>
      <c r="E123" s="52"/>
      <c r="F123" s="52"/>
      <c r="G123" s="53"/>
      <c r="H123" s="54"/>
      <c r="I123" s="54"/>
      <c r="J123" s="54"/>
      <c r="K123" s="54"/>
      <c r="L123" s="54"/>
      <c r="M123" s="54"/>
      <c r="N123" s="54"/>
      <c r="O123" s="131"/>
      <c r="P123" s="133"/>
      <c r="Q123" s="58"/>
      <c r="R123" s="58"/>
      <c r="S123" s="58"/>
      <c r="T123" s="59"/>
      <c r="W123" s="49"/>
      <c r="X123" s="49"/>
      <c r="Y123" s="50"/>
    </row>
    <row r="124" spans="1:25">
      <c r="A124" s="12" t="s">
        <v>60</v>
      </c>
      <c r="B124" s="12" t="s">
        <v>14</v>
      </c>
      <c r="C124" s="12" t="s">
        <v>15</v>
      </c>
      <c r="D124" s="15">
        <v>14559.99</v>
      </c>
      <c r="E124" s="15">
        <v>0</v>
      </c>
      <c r="F124" s="15">
        <v>10110.700000000001</v>
      </c>
      <c r="G124" s="15">
        <v>0</v>
      </c>
      <c r="H124" s="15">
        <f>(D124/12)+(E124/12)</f>
        <v>1213.3325</v>
      </c>
      <c r="I124" s="15">
        <f t="shared" ref="I124:I151" si="51">F124/12</f>
        <v>842.55833333333339</v>
      </c>
      <c r="J124" s="14">
        <f>D124+E124+F124+G124+H124+I124</f>
        <v>26726.580833333337</v>
      </c>
      <c r="K124" s="15">
        <f t="shared" ref="K124:K151" si="52">J124*0.085</f>
        <v>2271.7593708333338</v>
      </c>
      <c r="L124" s="15">
        <f>(J124/100*24.2)+(D124*18%*24.2%)</f>
        <v>7102.0657260666676</v>
      </c>
      <c r="M124" s="15">
        <f>(((D124+E123+H124)/100*80)+((F124+I124)/100*48))/100*7.1</f>
        <v>1269.2117620000001</v>
      </c>
      <c r="N124" s="14">
        <f t="shared" ref="N124:N151" si="53">K124+L124+M124</f>
        <v>10643.036858900003</v>
      </c>
      <c r="O124" s="28">
        <f t="shared" ref="O124:O151" si="54">J124+N124</f>
        <v>37369.61769223334</v>
      </c>
      <c r="P124" s="132">
        <f>O124/750</f>
        <v>49.826156922977788</v>
      </c>
      <c r="T124" s="55"/>
    </row>
    <row r="125" spans="1:25">
      <c r="A125" s="12" t="s">
        <v>60</v>
      </c>
      <c r="B125" s="12" t="s">
        <v>14</v>
      </c>
      <c r="C125" s="12" t="s">
        <v>16</v>
      </c>
      <c r="D125" s="15">
        <v>14559.99</v>
      </c>
      <c r="E125" s="15">
        <v>2329.61</v>
      </c>
      <c r="F125" s="15">
        <v>10110.700000000001</v>
      </c>
      <c r="G125" s="15">
        <v>0</v>
      </c>
      <c r="H125" s="15">
        <f t="shared" ref="H125:H167" si="55">(D125/12)+(E125/12)</f>
        <v>1407.4666666666667</v>
      </c>
      <c r="I125" s="15">
        <f t="shared" si="51"/>
        <v>842.55833333333339</v>
      </c>
      <c r="J125" s="14">
        <f t="shared" ref="J125:J151" si="56">D125+E125+F125+G125+H125+I125</f>
        <v>29250.325000000001</v>
      </c>
      <c r="K125" s="15">
        <f t="shared" si="52"/>
        <v>2486.2776250000002</v>
      </c>
      <c r="L125" s="15">
        <f>(J125/100*24.2)+(D125*18%*24.2%)+(E125*18%*24.2%)</f>
        <v>7814.2896259999989</v>
      </c>
      <c r="M125" s="15">
        <f>(((D125+E125+H125)/100*80)+((F125+I125)/100*48))/100*7.1</f>
        <v>1412.5604306666667</v>
      </c>
      <c r="N125" s="14">
        <f t="shared" si="53"/>
        <v>11713.127681666665</v>
      </c>
      <c r="O125" s="28">
        <f t="shared" si="54"/>
        <v>40963.452681666662</v>
      </c>
      <c r="P125" s="132">
        <f t="shared" ref="P125:P151" si="57">O125/750</f>
        <v>54.617936908888886</v>
      </c>
      <c r="T125" s="55"/>
    </row>
    <row r="126" spans="1:25">
      <c r="A126" s="12" t="s">
        <v>60</v>
      </c>
      <c r="B126" s="12" t="s">
        <v>14</v>
      </c>
      <c r="C126" s="12" t="s">
        <v>17</v>
      </c>
      <c r="D126" s="15">
        <v>14559.99</v>
      </c>
      <c r="E126" s="15">
        <v>3494.4</v>
      </c>
      <c r="F126" s="15">
        <v>10110.700000000001</v>
      </c>
      <c r="G126" s="15">
        <v>0</v>
      </c>
      <c r="H126" s="15">
        <f t="shared" si="55"/>
        <v>1504.5325</v>
      </c>
      <c r="I126" s="15">
        <f t="shared" si="51"/>
        <v>842.55833333333339</v>
      </c>
      <c r="J126" s="14">
        <f t="shared" si="56"/>
        <v>30512.180833333336</v>
      </c>
      <c r="K126" s="15">
        <f t="shared" si="52"/>
        <v>2593.5353708333337</v>
      </c>
      <c r="L126" s="15">
        <f t="shared" ref="L126:L151" si="58">(J126/100*24.2)+(D126*18%*24.2%)+(E126*18%*24.2%)</f>
        <v>8170.3969900666671</v>
      </c>
      <c r="M126" s="15">
        <f t="shared" ref="M126:M167" si="59">(((D126+E126+H126)/100*80)+((F126+I126)/100*48))/100*7.1</f>
        <v>1484.2338419999996</v>
      </c>
      <c r="N126" s="14">
        <f t="shared" si="53"/>
        <v>12248.1662029</v>
      </c>
      <c r="O126" s="28">
        <f t="shared" si="54"/>
        <v>42760.347036233332</v>
      </c>
      <c r="P126" s="132">
        <f t="shared" si="57"/>
        <v>57.013796048311107</v>
      </c>
      <c r="T126" s="55"/>
    </row>
    <row r="127" spans="1:25">
      <c r="A127" s="12" t="s">
        <v>60</v>
      </c>
      <c r="B127" s="12" t="s">
        <v>14</v>
      </c>
      <c r="C127" s="12" t="s">
        <v>18</v>
      </c>
      <c r="D127" s="15">
        <v>14559.99</v>
      </c>
      <c r="E127" s="15">
        <v>5823.96</v>
      </c>
      <c r="F127" s="15">
        <v>10110.700000000001</v>
      </c>
      <c r="G127" s="15">
        <v>0</v>
      </c>
      <c r="H127" s="15">
        <f t="shared" si="55"/>
        <v>1698.6624999999999</v>
      </c>
      <c r="I127" s="15">
        <f t="shared" si="51"/>
        <v>842.55833333333339</v>
      </c>
      <c r="J127" s="14">
        <f t="shared" si="56"/>
        <v>33035.870833333334</v>
      </c>
      <c r="K127" s="15">
        <f t="shared" si="52"/>
        <v>2808.0490208333335</v>
      </c>
      <c r="L127" s="15">
        <f t="shared" si="58"/>
        <v>8882.6056036666669</v>
      </c>
      <c r="M127" s="15">
        <f t="shared" si="59"/>
        <v>1627.579434</v>
      </c>
      <c r="N127" s="14">
        <f t="shared" si="53"/>
        <v>13318.2340585</v>
      </c>
      <c r="O127" s="28">
        <f t="shared" si="54"/>
        <v>46354.104891833333</v>
      </c>
      <c r="P127" s="132">
        <f t="shared" si="57"/>
        <v>61.805473189111112</v>
      </c>
      <c r="T127" s="55"/>
    </row>
    <row r="128" spans="1:25">
      <c r="A128" s="12" t="s">
        <v>60</v>
      </c>
      <c r="B128" s="12" t="s">
        <v>14</v>
      </c>
      <c r="C128" s="12" t="s">
        <v>19</v>
      </c>
      <c r="D128" s="15">
        <v>14559.99</v>
      </c>
      <c r="E128" s="15">
        <v>6988.78</v>
      </c>
      <c r="F128" s="15">
        <v>10110.700000000001</v>
      </c>
      <c r="G128" s="15">
        <v>0</v>
      </c>
      <c r="H128" s="15">
        <f t="shared" si="55"/>
        <v>1795.7308333333333</v>
      </c>
      <c r="I128" s="15">
        <f t="shared" si="51"/>
        <v>842.55833333333339</v>
      </c>
      <c r="J128" s="14">
        <f t="shared" si="56"/>
        <v>34297.75916666667</v>
      </c>
      <c r="K128" s="15">
        <f t="shared" si="52"/>
        <v>2915.3095291666673</v>
      </c>
      <c r="L128" s="15">
        <f t="shared" si="58"/>
        <v>9238.7221395333345</v>
      </c>
      <c r="M128" s="15">
        <f t="shared" si="59"/>
        <v>1699.2546913333335</v>
      </c>
      <c r="N128" s="14">
        <f t="shared" si="53"/>
        <v>13853.286360033335</v>
      </c>
      <c r="O128" s="28">
        <f t="shared" si="54"/>
        <v>48151.045526700007</v>
      </c>
      <c r="P128" s="132">
        <f t="shared" si="57"/>
        <v>64.201394035600003</v>
      </c>
      <c r="T128" s="55"/>
    </row>
    <row r="129" spans="1:20">
      <c r="A129" s="12" t="s">
        <v>60</v>
      </c>
      <c r="B129" s="12" t="s">
        <v>14</v>
      </c>
      <c r="C129" s="12" t="s">
        <v>20</v>
      </c>
      <c r="D129" s="15">
        <v>14559.99</v>
      </c>
      <c r="E129" s="15">
        <v>8066.23</v>
      </c>
      <c r="F129" s="15">
        <v>10110.700000000001</v>
      </c>
      <c r="G129" s="15">
        <v>0</v>
      </c>
      <c r="H129" s="15">
        <f t="shared" si="55"/>
        <v>1885.5183333333334</v>
      </c>
      <c r="I129" s="15">
        <f t="shared" si="51"/>
        <v>842.55833333333339</v>
      </c>
      <c r="J129" s="14">
        <f t="shared" si="56"/>
        <v>35464.996666666673</v>
      </c>
      <c r="K129" s="15">
        <f t="shared" si="52"/>
        <v>3014.5247166666672</v>
      </c>
      <c r="L129" s="15">
        <f t="shared" si="58"/>
        <v>9568.1273365333345</v>
      </c>
      <c r="M129" s="15">
        <f t="shared" si="59"/>
        <v>1765.5537813333331</v>
      </c>
      <c r="N129" s="14">
        <f t="shared" si="53"/>
        <v>14348.205834533335</v>
      </c>
      <c r="O129" s="28">
        <f t="shared" si="54"/>
        <v>49813.202501200009</v>
      </c>
      <c r="P129" s="132">
        <f t="shared" si="57"/>
        <v>66.417603334933347</v>
      </c>
      <c r="T129" s="55"/>
    </row>
    <row r="130" spans="1:20">
      <c r="A130" s="12" t="s">
        <v>60</v>
      </c>
      <c r="B130" s="12" t="s">
        <v>14</v>
      </c>
      <c r="C130" s="12" t="s">
        <v>21</v>
      </c>
      <c r="D130" s="15">
        <v>14559.99</v>
      </c>
      <c r="E130" s="15">
        <v>8604.9500000000007</v>
      </c>
      <c r="F130" s="15">
        <v>10110.700000000001</v>
      </c>
      <c r="G130" s="15">
        <v>0</v>
      </c>
      <c r="H130" s="15">
        <f t="shared" si="55"/>
        <v>1930.4116666666669</v>
      </c>
      <c r="I130" s="15">
        <f t="shared" si="51"/>
        <v>842.55833333333339</v>
      </c>
      <c r="J130" s="14">
        <f t="shared" si="56"/>
        <v>36048.61</v>
      </c>
      <c r="K130" s="15">
        <f t="shared" si="52"/>
        <v>3064.1318500000002</v>
      </c>
      <c r="L130" s="15">
        <f t="shared" si="58"/>
        <v>9732.8284063999999</v>
      </c>
      <c r="M130" s="15">
        <f t="shared" si="59"/>
        <v>1798.7030186666668</v>
      </c>
      <c r="N130" s="14">
        <f t="shared" si="53"/>
        <v>14595.663275066667</v>
      </c>
      <c r="O130" s="28">
        <f t="shared" si="54"/>
        <v>50644.273275066669</v>
      </c>
      <c r="P130" s="132">
        <f t="shared" si="57"/>
        <v>67.525697700088898</v>
      </c>
      <c r="T130" s="55"/>
    </row>
    <row r="131" spans="1:20">
      <c r="A131" s="12" t="s">
        <v>60</v>
      </c>
      <c r="B131" s="12" t="s">
        <v>14</v>
      </c>
      <c r="C131" s="12" t="s">
        <v>45</v>
      </c>
      <c r="D131" s="15">
        <v>14559.99</v>
      </c>
      <c r="E131" s="15">
        <v>9682.4</v>
      </c>
      <c r="F131" s="15">
        <v>10110.700000000001</v>
      </c>
      <c r="G131" s="15">
        <v>0</v>
      </c>
      <c r="H131" s="15">
        <f t="shared" si="55"/>
        <v>2020.1991666666668</v>
      </c>
      <c r="I131" s="15">
        <f t="shared" si="51"/>
        <v>842.55833333333339</v>
      </c>
      <c r="J131" s="14">
        <f t="shared" si="56"/>
        <v>37215.847499999996</v>
      </c>
      <c r="K131" s="15">
        <f t="shared" si="52"/>
        <v>3163.3470374999997</v>
      </c>
      <c r="L131" s="15">
        <f t="shared" si="58"/>
        <v>10062.233603399998</v>
      </c>
      <c r="M131" s="15">
        <f t="shared" si="59"/>
        <v>1865.0021086666666</v>
      </c>
      <c r="N131" s="14">
        <f t="shared" si="53"/>
        <v>15090.582749566664</v>
      </c>
      <c r="O131" s="28">
        <f t="shared" si="54"/>
        <v>52306.430249566663</v>
      </c>
      <c r="P131" s="132">
        <f t="shared" si="57"/>
        <v>69.741906999422213</v>
      </c>
      <c r="T131" s="55"/>
    </row>
    <row r="132" spans="1:20">
      <c r="A132" s="12" t="s">
        <v>60</v>
      </c>
      <c r="B132" s="12" t="s">
        <v>14</v>
      </c>
      <c r="C132" s="12" t="s">
        <v>23</v>
      </c>
      <c r="D132" s="15">
        <v>14559.99</v>
      </c>
      <c r="E132" s="15">
        <v>10221.129999999999</v>
      </c>
      <c r="F132" s="15">
        <v>10110.700000000001</v>
      </c>
      <c r="G132" s="15">
        <v>0</v>
      </c>
      <c r="H132" s="15">
        <f t="shared" si="55"/>
        <v>2065.0933333333332</v>
      </c>
      <c r="I132" s="15">
        <f t="shared" si="51"/>
        <v>842.55833333333339</v>
      </c>
      <c r="J132" s="14">
        <f t="shared" si="56"/>
        <v>37799.471666666665</v>
      </c>
      <c r="K132" s="15">
        <f t="shared" si="52"/>
        <v>3212.9550916666667</v>
      </c>
      <c r="L132" s="15">
        <f t="shared" si="58"/>
        <v>10226.937730533333</v>
      </c>
      <c r="M132" s="15">
        <f t="shared" si="59"/>
        <v>1898.1519613333332</v>
      </c>
      <c r="N132" s="14">
        <f t="shared" si="53"/>
        <v>15338.044783533333</v>
      </c>
      <c r="O132" s="28">
        <f t="shared" si="54"/>
        <v>53137.516450199997</v>
      </c>
      <c r="P132" s="132">
        <f t="shared" si="57"/>
        <v>70.85002193359999</v>
      </c>
      <c r="T132" s="55"/>
    </row>
    <row r="133" spans="1:20">
      <c r="A133" s="12" t="s">
        <v>60</v>
      </c>
      <c r="B133" s="12" t="s">
        <v>14</v>
      </c>
      <c r="C133" s="12" t="s">
        <v>24</v>
      </c>
      <c r="D133" s="15">
        <v>14559.99</v>
      </c>
      <c r="E133" s="15">
        <v>11298.58</v>
      </c>
      <c r="F133" s="15">
        <v>10110.700000000001</v>
      </c>
      <c r="G133" s="15">
        <v>0</v>
      </c>
      <c r="H133" s="15">
        <f t="shared" si="55"/>
        <v>2154.8808333333332</v>
      </c>
      <c r="I133" s="15">
        <f t="shared" si="51"/>
        <v>842.55833333333339</v>
      </c>
      <c r="J133" s="14">
        <f t="shared" si="56"/>
        <v>38966.709166666675</v>
      </c>
      <c r="K133" s="15">
        <f t="shared" si="52"/>
        <v>3312.1702791666676</v>
      </c>
      <c r="L133" s="15">
        <f t="shared" si="58"/>
        <v>10556.342927533335</v>
      </c>
      <c r="M133" s="15">
        <f t="shared" si="59"/>
        <v>1964.4510513333332</v>
      </c>
      <c r="N133" s="14">
        <f t="shared" si="53"/>
        <v>15832.964258033335</v>
      </c>
      <c r="O133" s="28">
        <f t="shared" si="54"/>
        <v>54799.673424700013</v>
      </c>
      <c r="P133" s="132">
        <f t="shared" si="57"/>
        <v>73.066231232933347</v>
      </c>
      <c r="T133" s="55"/>
    </row>
    <row r="134" spans="1:20">
      <c r="A134" s="12" t="s">
        <v>60</v>
      </c>
      <c r="B134" s="12" t="s">
        <v>14</v>
      </c>
      <c r="C134" s="12" t="s">
        <v>25</v>
      </c>
      <c r="D134" s="15">
        <v>14559.99</v>
      </c>
      <c r="E134" s="15">
        <v>11837.31</v>
      </c>
      <c r="F134" s="15">
        <v>10110.700000000001</v>
      </c>
      <c r="G134" s="15">
        <v>0</v>
      </c>
      <c r="H134" s="15">
        <f t="shared" si="55"/>
        <v>2199.7750000000001</v>
      </c>
      <c r="I134" s="15">
        <f t="shared" si="51"/>
        <v>842.55833333333339</v>
      </c>
      <c r="J134" s="14">
        <f t="shared" si="56"/>
        <v>39550.333333333336</v>
      </c>
      <c r="K134" s="15">
        <f t="shared" si="52"/>
        <v>3361.7783333333336</v>
      </c>
      <c r="L134" s="15">
        <f t="shared" si="58"/>
        <v>10721.047054666667</v>
      </c>
      <c r="M134" s="15">
        <f t="shared" si="59"/>
        <v>1997.6009039999999</v>
      </c>
      <c r="N134" s="14">
        <f t="shared" si="53"/>
        <v>16080.426292</v>
      </c>
      <c r="O134" s="28">
        <f t="shared" si="54"/>
        <v>55630.759625333332</v>
      </c>
      <c r="P134" s="132">
        <f t="shared" si="57"/>
        <v>74.174346167111111</v>
      </c>
      <c r="T134" s="55"/>
    </row>
    <row r="135" spans="1:20">
      <c r="A135" s="12" t="s">
        <v>60</v>
      </c>
      <c r="B135" s="12" t="s">
        <v>14</v>
      </c>
      <c r="C135" s="12" t="s">
        <v>26</v>
      </c>
      <c r="D135" s="15">
        <v>14559.99</v>
      </c>
      <c r="E135" s="15">
        <v>12914.76</v>
      </c>
      <c r="F135" s="15">
        <v>10110.700000000001</v>
      </c>
      <c r="G135" s="15">
        <v>0</v>
      </c>
      <c r="H135" s="15">
        <f t="shared" si="55"/>
        <v>2289.5625</v>
      </c>
      <c r="I135" s="15">
        <f t="shared" si="51"/>
        <v>842.55833333333339</v>
      </c>
      <c r="J135" s="14">
        <f t="shared" si="56"/>
        <v>40717.570833333331</v>
      </c>
      <c r="K135" s="15">
        <f t="shared" si="52"/>
        <v>3460.9935208333336</v>
      </c>
      <c r="L135" s="15">
        <f t="shared" si="58"/>
        <v>11050.452251666666</v>
      </c>
      <c r="M135" s="15">
        <f t="shared" si="59"/>
        <v>2063.8999940000003</v>
      </c>
      <c r="N135" s="14">
        <f t="shared" si="53"/>
        <v>16575.345766499999</v>
      </c>
      <c r="O135" s="28">
        <f t="shared" si="54"/>
        <v>57292.916599833334</v>
      </c>
      <c r="P135" s="132">
        <f t="shared" si="57"/>
        <v>76.39055546644444</v>
      </c>
      <c r="T135" s="55"/>
    </row>
    <row r="136" spans="1:20">
      <c r="A136" s="12" t="s">
        <v>60</v>
      </c>
      <c r="B136" s="12" t="s">
        <v>14</v>
      </c>
      <c r="C136" s="12" t="s">
        <v>27</v>
      </c>
      <c r="D136" s="15">
        <v>14559.99</v>
      </c>
      <c r="E136" s="15">
        <v>13453.48</v>
      </c>
      <c r="F136" s="15">
        <v>10110.700000000001</v>
      </c>
      <c r="G136" s="15">
        <v>0</v>
      </c>
      <c r="H136" s="15">
        <f t="shared" si="55"/>
        <v>2334.4558333333334</v>
      </c>
      <c r="I136" s="15">
        <f t="shared" si="51"/>
        <v>842.55833333333339</v>
      </c>
      <c r="J136" s="14">
        <f t="shared" si="56"/>
        <v>41301.184166666666</v>
      </c>
      <c r="K136" s="15">
        <f t="shared" si="52"/>
        <v>3510.600654166667</v>
      </c>
      <c r="L136" s="15">
        <f t="shared" si="58"/>
        <v>11215.153321533333</v>
      </c>
      <c r="M136" s="15">
        <f t="shared" si="59"/>
        <v>2097.0492313333334</v>
      </c>
      <c r="N136" s="14">
        <f t="shared" si="53"/>
        <v>16822.803207033332</v>
      </c>
      <c r="O136" s="28">
        <f t="shared" si="54"/>
        <v>58123.987373700002</v>
      </c>
      <c r="P136" s="132">
        <f t="shared" si="57"/>
        <v>77.498649831600005</v>
      </c>
      <c r="T136" s="55"/>
    </row>
    <row r="137" spans="1:20">
      <c r="A137" s="12" t="s">
        <v>60</v>
      </c>
      <c r="B137" s="12" t="s">
        <v>14</v>
      </c>
      <c r="C137" s="12" t="s">
        <v>28</v>
      </c>
      <c r="D137" s="15">
        <v>14559.99</v>
      </c>
      <c r="E137" s="15">
        <v>14530.93</v>
      </c>
      <c r="F137" s="15">
        <v>10110.700000000001</v>
      </c>
      <c r="G137" s="15">
        <v>0</v>
      </c>
      <c r="H137" s="15">
        <f t="shared" si="55"/>
        <v>2424.2433333333333</v>
      </c>
      <c r="I137" s="15">
        <f t="shared" si="51"/>
        <v>842.55833333333339</v>
      </c>
      <c r="J137" s="14">
        <f t="shared" si="56"/>
        <v>42468.421666666662</v>
      </c>
      <c r="K137" s="15">
        <f t="shared" si="52"/>
        <v>3609.8158416666665</v>
      </c>
      <c r="L137" s="15">
        <f t="shared" si="58"/>
        <v>11544.558518533333</v>
      </c>
      <c r="M137" s="15">
        <f t="shared" si="59"/>
        <v>2163.3483213333329</v>
      </c>
      <c r="N137" s="14">
        <f t="shared" si="53"/>
        <v>17317.722681533334</v>
      </c>
      <c r="O137" s="28">
        <f t="shared" si="54"/>
        <v>59786.144348199996</v>
      </c>
      <c r="P137" s="132">
        <f t="shared" si="57"/>
        <v>79.714859130933334</v>
      </c>
      <c r="T137" s="55"/>
    </row>
    <row r="138" spans="1:20">
      <c r="A138" s="12" t="s">
        <v>60</v>
      </c>
      <c r="B138" s="12" t="s">
        <v>14</v>
      </c>
      <c r="C138" s="12" t="s">
        <v>29</v>
      </c>
      <c r="D138" s="15">
        <v>14559.99</v>
      </c>
      <c r="E138" s="15">
        <v>1164.81</v>
      </c>
      <c r="F138" s="15">
        <v>10110.700000000001</v>
      </c>
      <c r="G138" s="15">
        <v>0</v>
      </c>
      <c r="H138" s="15">
        <f t="shared" si="55"/>
        <v>1310.4000000000001</v>
      </c>
      <c r="I138" s="15">
        <f t="shared" si="51"/>
        <v>842.55833333333339</v>
      </c>
      <c r="J138" s="14">
        <f t="shared" si="56"/>
        <v>27988.458333333336</v>
      </c>
      <c r="K138" s="15">
        <f t="shared" si="52"/>
        <v>2379.0189583333336</v>
      </c>
      <c r="L138" s="15">
        <f t="shared" si="58"/>
        <v>7458.1792046666669</v>
      </c>
      <c r="M138" s="15">
        <f t="shared" ref="M138:M151" si="60">(((D138+E137+H138)/100*80)+((F138+I138)/100*48))/100*7.1</f>
        <v>2100.0820199999994</v>
      </c>
      <c r="N138" s="14">
        <f t="shared" si="53"/>
        <v>11937.280183000001</v>
      </c>
      <c r="O138" s="28">
        <f t="shared" si="54"/>
        <v>39925.738516333338</v>
      </c>
      <c r="P138" s="132">
        <f t="shared" si="57"/>
        <v>53.234318021777781</v>
      </c>
      <c r="T138" s="55"/>
    </row>
    <row r="139" spans="1:20">
      <c r="A139" s="12" t="s">
        <v>60</v>
      </c>
      <c r="B139" s="12" t="s">
        <v>14</v>
      </c>
      <c r="C139" s="12" t="s">
        <v>30</v>
      </c>
      <c r="D139" s="15">
        <v>14559.99</v>
      </c>
      <c r="E139" s="15">
        <v>4659.1899999999996</v>
      </c>
      <c r="F139" s="15">
        <v>10110.700000000001</v>
      </c>
      <c r="G139" s="15">
        <v>0</v>
      </c>
      <c r="H139" s="15">
        <f t="shared" si="55"/>
        <v>1601.5983333333334</v>
      </c>
      <c r="I139" s="15">
        <f t="shared" si="51"/>
        <v>842.55833333333339</v>
      </c>
      <c r="J139" s="14">
        <f t="shared" si="56"/>
        <v>31774.036666666667</v>
      </c>
      <c r="K139" s="15">
        <f t="shared" si="52"/>
        <v>2700.7931166666667</v>
      </c>
      <c r="L139" s="15">
        <f t="shared" si="58"/>
        <v>8526.5043541333343</v>
      </c>
      <c r="M139" s="15">
        <f t="shared" si="60"/>
        <v>1357.426469333333</v>
      </c>
      <c r="N139" s="14">
        <f t="shared" si="53"/>
        <v>12584.723940133334</v>
      </c>
      <c r="O139" s="28">
        <f t="shared" si="54"/>
        <v>44358.760606800002</v>
      </c>
      <c r="P139" s="132">
        <f t="shared" si="57"/>
        <v>59.145014142400001</v>
      </c>
      <c r="T139" s="55"/>
    </row>
    <row r="140" spans="1:20">
      <c r="A140" s="12" t="s">
        <v>60</v>
      </c>
      <c r="B140" s="12" t="s">
        <v>14</v>
      </c>
      <c r="C140" s="12" t="s">
        <v>31</v>
      </c>
      <c r="D140" s="15">
        <v>14559.99</v>
      </c>
      <c r="E140" s="15">
        <v>7527.5</v>
      </c>
      <c r="F140" s="15">
        <v>10110.700000000001</v>
      </c>
      <c r="G140" s="15">
        <v>0</v>
      </c>
      <c r="H140" s="15">
        <f t="shared" si="55"/>
        <v>1840.6241666666665</v>
      </c>
      <c r="I140" s="15">
        <f t="shared" si="51"/>
        <v>842.55833333333339</v>
      </c>
      <c r="J140" s="14">
        <f t="shared" si="56"/>
        <v>34881.372499999998</v>
      </c>
      <c r="K140" s="15">
        <f t="shared" si="52"/>
        <v>2964.9166624999998</v>
      </c>
      <c r="L140" s="15">
        <f t="shared" si="58"/>
        <v>9403.4232093999999</v>
      </c>
      <c r="M140" s="15">
        <f t="shared" si="60"/>
        <v>1569.4839206666668</v>
      </c>
      <c r="N140" s="14">
        <f t="shared" si="53"/>
        <v>13937.823792566667</v>
      </c>
      <c r="O140" s="28">
        <f t="shared" si="54"/>
        <v>48819.196292566667</v>
      </c>
      <c r="P140" s="132">
        <f t="shared" si="57"/>
        <v>65.092261723422226</v>
      </c>
      <c r="T140" s="55"/>
    </row>
    <row r="141" spans="1:20">
      <c r="A141" s="12" t="s">
        <v>60</v>
      </c>
      <c r="B141" s="12" t="s">
        <v>14</v>
      </c>
      <c r="C141" s="12" t="s">
        <v>32</v>
      </c>
      <c r="D141" s="15">
        <v>14559.99</v>
      </c>
      <c r="E141" s="15">
        <v>9143.68</v>
      </c>
      <c r="F141" s="15">
        <v>10110.700000000001</v>
      </c>
      <c r="G141" s="15">
        <v>0</v>
      </c>
      <c r="H141" s="15">
        <f t="shared" si="55"/>
        <v>1975.3058333333333</v>
      </c>
      <c r="I141" s="15">
        <f t="shared" si="51"/>
        <v>842.55833333333339</v>
      </c>
      <c r="J141" s="14">
        <f t="shared" si="56"/>
        <v>36632.234166666662</v>
      </c>
      <c r="K141" s="15">
        <f t="shared" si="52"/>
        <v>3113.7399041666663</v>
      </c>
      <c r="L141" s="15">
        <f t="shared" si="58"/>
        <v>9897.5325335333328</v>
      </c>
      <c r="M141" s="15">
        <f t="shared" si="60"/>
        <v>1740.0538473333329</v>
      </c>
      <c r="N141" s="14">
        <f t="shared" si="53"/>
        <v>14751.326285033332</v>
      </c>
      <c r="O141" s="28">
        <f t="shared" si="54"/>
        <v>51383.560451699996</v>
      </c>
      <c r="P141" s="132">
        <f t="shared" si="57"/>
        <v>68.51141393559999</v>
      </c>
      <c r="T141" s="55"/>
    </row>
    <row r="142" spans="1:20">
      <c r="A142" s="12" t="s">
        <v>60</v>
      </c>
      <c r="B142" s="12" t="s">
        <v>14</v>
      </c>
      <c r="C142" s="12" t="s">
        <v>33</v>
      </c>
      <c r="D142" s="15">
        <v>14559.99</v>
      </c>
      <c r="E142" s="15">
        <v>10759.86</v>
      </c>
      <c r="F142" s="15">
        <v>10110.700000000001</v>
      </c>
      <c r="G142" s="15">
        <v>0</v>
      </c>
      <c r="H142" s="15">
        <f t="shared" si="55"/>
        <v>2109.9875000000002</v>
      </c>
      <c r="I142" s="15">
        <f t="shared" si="51"/>
        <v>842.55833333333339</v>
      </c>
      <c r="J142" s="14">
        <f t="shared" si="56"/>
        <v>38383.09583333334</v>
      </c>
      <c r="K142" s="15">
        <f t="shared" si="52"/>
        <v>3262.5631458333341</v>
      </c>
      <c r="L142" s="15">
        <f t="shared" si="58"/>
        <v>10391.641857666669</v>
      </c>
      <c r="M142" s="15">
        <f t="shared" si="60"/>
        <v>1839.50279</v>
      </c>
      <c r="N142" s="14">
        <f t="shared" si="53"/>
        <v>15493.707793500003</v>
      </c>
      <c r="O142" s="28">
        <f t="shared" si="54"/>
        <v>53876.803626833345</v>
      </c>
      <c r="P142" s="132">
        <f t="shared" si="57"/>
        <v>71.835738169111124</v>
      </c>
      <c r="T142" s="55"/>
    </row>
    <row r="143" spans="1:20">
      <c r="A143" s="12" t="s">
        <v>60</v>
      </c>
      <c r="B143" s="12" t="s">
        <v>14</v>
      </c>
      <c r="C143" s="12" t="s">
        <v>34</v>
      </c>
      <c r="D143" s="15">
        <v>14559.99</v>
      </c>
      <c r="E143" s="15">
        <v>12376.03</v>
      </c>
      <c r="F143" s="15">
        <v>10110.700000000001</v>
      </c>
      <c r="G143" s="15">
        <v>0</v>
      </c>
      <c r="H143" s="15">
        <f t="shared" si="55"/>
        <v>2244.6683333333331</v>
      </c>
      <c r="I143" s="15">
        <f t="shared" si="51"/>
        <v>842.55833333333339</v>
      </c>
      <c r="J143" s="14">
        <f t="shared" si="56"/>
        <v>40133.94666666667</v>
      </c>
      <c r="K143" s="15">
        <f t="shared" si="52"/>
        <v>3411.3854666666671</v>
      </c>
      <c r="L143" s="15">
        <f t="shared" si="58"/>
        <v>10885.748124533333</v>
      </c>
      <c r="M143" s="15">
        <f t="shared" si="60"/>
        <v>1938.9516853333332</v>
      </c>
      <c r="N143" s="14">
        <f t="shared" si="53"/>
        <v>16236.085276533333</v>
      </c>
      <c r="O143" s="28">
        <f t="shared" si="54"/>
        <v>56370.031943200003</v>
      </c>
      <c r="P143" s="132">
        <f t="shared" si="57"/>
        <v>75.160042590933344</v>
      </c>
      <c r="T143" s="55"/>
    </row>
    <row r="144" spans="1:20">
      <c r="A144" s="12" t="s">
        <v>60</v>
      </c>
      <c r="B144" s="12" t="s">
        <v>14</v>
      </c>
      <c r="C144" s="12" t="s">
        <v>35</v>
      </c>
      <c r="D144" s="15">
        <v>14559.99</v>
      </c>
      <c r="E144" s="15">
        <v>13992.21</v>
      </c>
      <c r="F144" s="15">
        <v>10110.700000000001</v>
      </c>
      <c r="G144" s="15">
        <v>0</v>
      </c>
      <c r="H144" s="15">
        <f t="shared" si="55"/>
        <v>2379.35</v>
      </c>
      <c r="I144" s="15">
        <f t="shared" si="51"/>
        <v>842.55833333333339</v>
      </c>
      <c r="J144" s="14">
        <f t="shared" si="56"/>
        <v>41884.808333333327</v>
      </c>
      <c r="K144" s="15">
        <f t="shared" si="52"/>
        <v>3560.2087083333331</v>
      </c>
      <c r="L144" s="15">
        <f t="shared" si="58"/>
        <v>11379.857448666664</v>
      </c>
      <c r="M144" s="15">
        <f t="shared" si="60"/>
        <v>2038.4000600000002</v>
      </c>
      <c r="N144" s="14">
        <f t="shared" si="53"/>
        <v>16978.466216999997</v>
      </c>
      <c r="O144" s="28">
        <f t="shared" si="54"/>
        <v>58863.274550333328</v>
      </c>
      <c r="P144" s="132">
        <f t="shared" si="57"/>
        <v>78.484366067111111</v>
      </c>
      <c r="T144" s="55"/>
    </row>
    <row r="145" spans="1:25">
      <c r="A145" s="12" t="s">
        <v>60</v>
      </c>
      <c r="B145" s="12" t="s">
        <v>14</v>
      </c>
      <c r="C145" s="12" t="s">
        <v>36</v>
      </c>
      <c r="D145" s="15">
        <v>14559.99</v>
      </c>
      <c r="E145" s="15">
        <v>1164.81</v>
      </c>
      <c r="F145" s="15">
        <v>10110.700000000001</v>
      </c>
      <c r="G145" s="15">
        <v>0</v>
      </c>
      <c r="H145" s="15">
        <f t="shared" si="55"/>
        <v>1310.4000000000001</v>
      </c>
      <c r="I145" s="15">
        <f t="shared" si="51"/>
        <v>842.55833333333339</v>
      </c>
      <c r="J145" s="14">
        <f t="shared" si="56"/>
        <v>27988.458333333336</v>
      </c>
      <c r="K145" s="15">
        <f t="shared" si="52"/>
        <v>2379.0189583333336</v>
      </c>
      <c r="L145" s="15">
        <f t="shared" si="58"/>
        <v>7458.1792046666669</v>
      </c>
      <c r="M145" s="15">
        <f t="shared" si="60"/>
        <v>2069.482724</v>
      </c>
      <c r="N145" s="14">
        <f t="shared" si="53"/>
        <v>11906.680887</v>
      </c>
      <c r="O145" s="28">
        <f t="shared" si="54"/>
        <v>39895.139220333338</v>
      </c>
      <c r="P145" s="132">
        <f t="shared" si="57"/>
        <v>53.19351896044445</v>
      </c>
      <c r="T145" s="55"/>
    </row>
    <row r="146" spans="1:25">
      <c r="A146" s="12" t="s">
        <v>60</v>
      </c>
      <c r="B146" s="12" t="s">
        <v>14</v>
      </c>
      <c r="C146" s="12" t="s">
        <v>37</v>
      </c>
      <c r="D146" s="15">
        <v>14559.99</v>
      </c>
      <c r="E146" s="15">
        <v>4659.1899999999996</v>
      </c>
      <c r="F146" s="15">
        <v>10110.700000000001</v>
      </c>
      <c r="G146" s="15">
        <v>0</v>
      </c>
      <c r="H146" s="15">
        <f t="shared" si="55"/>
        <v>1601.5983333333334</v>
      </c>
      <c r="I146" s="15">
        <f t="shared" si="51"/>
        <v>842.55833333333339</v>
      </c>
      <c r="J146" s="14">
        <f t="shared" si="56"/>
        <v>31774.036666666667</v>
      </c>
      <c r="K146" s="15">
        <f t="shared" si="52"/>
        <v>2700.7931166666667</v>
      </c>
      <c r="L146" s="15">
        <f t="shared" si="58"/>
        <v>8526.5043541333343</v>
      </c>
      <c r="M146" s="15">
        <f t="shared" si="60"/>
        <v>1357.426469333333</v>
      </c>
      <c r="N146" s="14">
        <f t="shared" si="53"/>
        <v>12584.723940133334</v>
      </c>
      <c r="O146" s="28">
        <f t="shared" si="54"/>
        <v>44358.760606800002</v>
      </c>
      <c r="P146" s="132">
        <f t="shared" si="57"/>
        <v>59.145014142400001</v>
      </c>
      <c r="T146" s="55"/>
    </row>
    <row r="147" spans="1:25">
      <c r="A147" s="12" t="s">
        <v>60</v>
      </c>
      <c r="B147" s="12" t="s">
        <v>14</v>
      </c>
      <c r="C147" s="12" t="s">
        <v>38</v>
      </c>
      <c r="D147" s="15">
        <v>14559.99</v>
      </c>
      <c r="E147" s="15">
        <v>7527.5</v>
      </c>
      <c r="F147" s="15">
        <v>10110.700000000001</v>
      </c>
      <c r="G147" s="15">
        <v>0</v>
      </c>
      <c r="H147" s="15">
        <f t="shared" si="55"/>
        <v>1840.6241666666665</v>
      </c>
      <c r="I147" s="15">
        <f t="shared" si="51"/>
        <v>842.55833333333339</v>
      </c>
      <c r="J147" s="14">
        <f t="shared" si="56"/>
        <v>34881.372499999998</v>
      </c>
      <c r="K147" s="15">
        <f t="shared" si="52"/>
        <v>2964.9166624999998</v>
      </c>
      <c r="L147" s="15">
        <f t="shared" si="58"/>
        <v>9403.4232093999999</v>
      </c>
      <c r="M147" s="15">
        <f t="shared" si="60"/>
        <v>1569.4839206666668</v>
      </c>
      <c r="N147" s="14">
        <f t="shared" si="53"/>
        <v>13937.823792566667</v>
      </c>
      <c r="O147" s="28">
        <f t="shared" si="54"/>
        <v>48819.196292566667</v>
      </c>
      <c r="P147" s="132">
        <f t="shared" si="57"/>
        <v>65.092261723422226</v>
      </c>
      <c r="T147" s="55"/>
    </row>
    <row r="148" spans="1:25">
      <c r="A148" s="12" t="s">
        <v>60</v>
      </c>
      <c r="B148" s="12" t="s">
        <v>14</v>
      </c>
      <c r="C148" s="12" t="s">
        <v>39</v>
      </c>
      <c r="D148" s="15">
        <v>14559.99</v>
      </c>
      <c r="E148" s="15">
        <v>9143.68</v>
      </c>
      <c r="F148" s="15">
        <v>10110.700000000001</v>
      </c>
      <c r="G148" s="15">
        <v>0</v>
      </c>
      <c r="H148" s="15">
        <f t="shared" si="55"/>
        <v>1975.3058333333333</v>
      </c>
      <c r="I148" s="15">
        <f t="shared" si="51"/>
        <v>842.55833333333339</v>
      </c>
      <c r="J148" s="14">
        <f t="shared" si="56"/>
        <v>36632.234166666662</v>
      </c>
      <c r="K148" s="15">
        <f t="shared" si="52"/>
        <v>3113.7399041666663</v>
      </c>
      <c r="L148" s="15">
        <f t="shared" si="58"/>
        <v>9897.5325335333328</v>
      </c>
      <c r="M148" s="15">
        <f t="shared" si="60"/>
        <v>1740.0538473333329</v>
      </c>
      <c r="N148" s="14">
        <f t="shared" si="53"/>
        <v>14751.326285033332</v>
      </c>
      <c r="O148" s="28">
        <f t="shared" si="54"/>
        <v>51383.560451699996</v>
      </c>
      <c r="P148" s="132">
        <f t="shared" si="57"/>
        <v>68.51141393559999</v>
      </c>
      <c r="T148" s="55"/>
    </row>
    <row r="149" spans="1:25">
      <c r="A149" s="12" t="s">
        <v>60</v>
      </c>
      <c r="B149" s="12" t="s">
        <v>14</v>
      </c>
      <c r="C149" s="12" t="s">
        <v>40</v>
      </c>
      <c r="D149" s="15">
        <v>14559.99</v>
      </c>
      <c r="E149" s="15">
        <v>10759.86</v>
      </c>
      <c r="F149" s="15">
        <v>10110.700000000001</v>
      </c>
      <c r="G149" s="15">
        <v>0</v>
      </c>
      <c r="H149" s="15">
        <f t="shared" si="55"/>
        <v>2109.9875000000002</v>
      </c>
      <c r="I149" s="15">
        <f t="shared" si="51"/>
        <v>842.55833333333339</v>
      </c>
      <c r="J149" s="14">
        <f t="shared" si="56"/>
        <v>38383.09583333334</v>
      </c>
      <c r="K149" s="15">
        <f t="shared" si="52"/>
        <v>3262.5631458333341</v>
      </c>
      <c r="L149" s="15">
        <f t="shared" si="58"/>
        <v>10391.641857666669</v>
      </c>
      <c r="M149" s="15">
        <f t="shared" si="60"/>
        <v>1839.50279</v>
      </c>
      <c r="N149" s="14">
        <f t="shared" si="53"/>
        <v>15493.707793500003</v>
      </c>
      <c r="O149" s="28">
        <f t="shared" si="54"/>
        <v>53876.803626833345</v>
      </c>
      <c r="P149" s="132">
        <f t="shared" si="57"/>
        <v>71.835738169111124</v>
      </c>
      <c r="T149" s="55"/>
    </row>
    <row r="150" spans="1:25">
      <c r="A150" s="12" t="s">
        <v>60</v>
      </c>
      <c r="B150" s="12" t="s">
        <v>14</v>
      </c>
      <c r="C150" s="12" t="s">
        <v>41</v>
      </c>
      <c r="D150" s="15">
        <v>14559.99</v>
      </c>
      <c r="E150" s="15">
        <v>12376.03</v>
      </c>
      <c r="F150" s="15">
        <v>10110.700000000001</v>
      </c>
      <c r="G150" s="15">
        <v>0</v>
      </c>
      <c r="H150" s="15">
        <f t="shared" si="55"/>
        <v>2244.6683333333331</v>
      </c>
      <c r="I150" s="15">
        <f t="shared" si="51"/>
        <v>842.55833333333339</v>
      </c>
      <c r="J150" s="14">
        <f t="shared" si="56"/>
        <v>40133.94666666667</v>
      </c>
      <c r="K150" s="15">
        <f t="shared" si="52"/>
        <v>3411.3854666666671</v>
      </c>
      <c r="L150" s="15">
        <f t="shared" si="58"/>
        <v>10885.748124533333</v>
      </c>
      <c r="M150" s="15">
        <f t="shared" si="60"/>
        <v>1938.9516853333332</v>
      </c>
      <c r="N150" s="14">
        <f t="shared" si="53"/>
        <v>16236.085276533333</v>
      </c>
      <c r="O150" s="28">
        <f t="shared" si="54"/>
        <v>56370.031943200003</v>
      </c>
      <c r="P150" s="132">
        <f t="shared" si="57"/>
        <v>75.160042590933344</v>
      </c>
      <c r="T150" s="55"/>
    </row>
    <row r="151" spans="1:25">
      <c r="A151" s="12" t="s">
        <v>60</v>
      </c>
      <c r="B151" s="12" t="s">
        <v>14</v>
      </c>
      <c r="C151" s="12" t="s">
        <v>42</v>
      </c>
      <c r="D151" s="15">
        <v>14559.99</v>
      </c>
      <c r="E151" s="15">
        <v>13992.21</v>
      </c>
      <c r="F151" s="15">
        <v>10110.700000000001</v>
      </c>
      <c r="G151" s="15">
        <v>0</v>
      </c>
      <c r="H151" s="15">
        <f t="shared" si="55"/>
        <v>2379.35</v>
      </c>
      <c r="I151" s="15">
        <f t="shared" si="51"/>
        <v>842.55833333333339</v>
      </c>
      <c r="J151" s="14">
        <f t="shared" si="56"/>
        <v>41884.808333333327</v>
      </c>
      <c r="K151" s="15">
        <f t="shared" si="52"/>
        <v>3560.2087083333331</v>
      </c>
      <c r="L151" s="15">
        <f t="shared" si="58"/>
        <v>11379.857448666664</v>
      </c>
      <c r="M151" s="15">
        <f t="shared" si="60"/>
        <v>2038.4000600000002</v>
      </c>
      <c r="N151" s="14">
        <f t="shared" si="53"/>
        <v>16978.466216999997</v>
      </c>
      <c r="O151" s="28">
        <f t="shared" si="54"/>
        <v>58863.274550333328</v>
      </c>
      <c r="P151" s="132">
        <f t="shared" si="57"/>
        <v>78.484366067111111</v>
      </c>
      <c r="T151" s="55"/>
    </row>
    <row r="152" spans="1:25" customFormat="1" ht="20.149999999999999" customHeight="1">
      <c r="A152" s="51"/>
      <c r="B152" s="52"/>
      <c r="C152" s="51"/>
      <c r="D152" s="52"/>
      <c r="E152" s="52"/>
      <c r="F152" s="52"/>
      <c r="G152" s="53"/>
      <c r="H152" s="54"/>
      <c r="I152" s="54"/>
      <c r="J152" s="54"/>
      <c r="K152" s="54"/>
      <c r="L152" s="54"/>
      <c r="M152" s="54"/>
      <c r="N152" s="54"/>
      <c r="O152" s="131"/>
      <c r="P152" s="133"/>
      <c r="Q152" s="58"/>
      <c r="R152" s="58"/>
      <c r="S152" s="58"/>
      <c r="T152" s="59"/>
      <c r="W152" s="49"/>
      <c r="X152" s="49"/>
      <c r="Y152" s="50"/>
    </row>
    <row r="153" spans="1:25">
      <c r="A153" s="12" t="s">
        <v>60</v>
      </c>
      <c r="B153" s="12" t="s">
        <v>43</v>
      </c>
      <c r="C153" s="12" t="s">
        <v>15</v>
      </c>
      <c r="D153" s="16">
        <v>19854.45</v>
      </c>
      <c r="E153" s="16">
        <v>0</v>
      </c>
      <c r="F153" s="16">
        <v>10382.17</v>
      </c>
      <c r="G153" s="16">
        <v>4083.45</v>
      </c>
      <c r="H153" s="16">
        <f t="shared" si="55"/>
        <v>1654.5375000000001</v>
      </c>
      <c r="I153" s="56">
        <f t="shared" ref="I153:I167" si="61">F153/12</f>
        <v>865.18083333333334</v>
      </c>
      <c r="J153" s="57">
        <f>D153+E153+F153+G153+H153+I153</f>
        <v>36839.78833333333</v>
      </c>
      <c r="K153" s="16">
        <f t="shared" ref="K153:K167" si="62">J153*0.085</f>
        <v>3131.3820083333335</v>
      </c>
      <c r="L153" s="16">
        <f t="shared" ref="L153:L167" si="63">J153/100*24.2</f>
        <v>8915.228776666665</v>
      </c>
      <c r="M153" s="16">
        <f t="shared" si="59"/>
        <v>1605.0202064</v>
      </c>
      <c r="N153" s="57">
        <f t="shared" ref="N153:N167" si="64">K153+L153+M153</f>
        <v>13651.630991399999</v>
      </c>
      <c r="O153" s="29">
        <f t="shared" ref="O153:O167" si="65">J153+N153</f>
        <v>50491.419324733331</v>
      </c>
      <c r="P153" s="132">
        <f>O153/1500</f>
        <v>33.660946216488888</v>
      </c>
      <c r="T153" s="55"/>
    </row>
    <row r="154" spans="1:25">
      <c r="A154" s="12" t="s">
        <v>60</v>
      </c>
      <c r="B154" s="12" t="s">
        <v>43</v>
      </c>
      <c r="C154" s="12" t="s">
        <v>16</v>
      </c>
      <c r="D154" s="16">
        <v>19854.45</v>
      </c>
      <c r="E154" s="16">
        <v>3176.51</v>
      </c>
      <c r="F154" s="16">
        <v>10382.17</v>
      </c>
      <c r="G154" s="16">
        <v>4764.0200000000004</v>
      </c>
      <c r="H154" s="16">
        <f t="shared" si="55"/>
        <v>1919.2466666666669</v>
      </c>
      <c r="I154" s="56">
        <f t="shared" si="61"/>
        <v>865.18083333333334</v>
      </c>
      <c r="J154" s="57">
        <f t="shared" ref="J154:J167" si="66">D154+E154+F154+G154+H154+I154</f>
        <v>40961.577499999992</v>
      </c>
      <c r="K154" s="16">
        <f t="shared" si="62"/>
        <v>3481.7340874999995</v>
      </c>
      <c r="L154" s="16">
        <f t="shared" si="63"/>
        <v>9912.7017549999982</v>
      </c>
      <c r="M154" s="16">
        <f t="shared" si="59"/>
        <v>1800.4814550666665</v>
      </c>
      <c r="N154" s="57">
        <f t="shared" si="64"/>
        <v>15194.917297566664</v>
      </c>
      <c r="O154" s="29">
        <f t="shared" si="65"/>
        <v>56156.494797566658</v>
      </c>
      <c r="P154" s="132">
        <f t="shared" ref="P154:P181" si="67">O154/1500</f>
        <v>37.43766319837777</v>
      </c>
      <c r="T154" s="55"/>
    </row>
    <row r="155" spans="1:25">
      <c r="A155" s="12" t="s">
        <v>60</v>
      </c>
      <c r="B155" s="12" t="s">
        <v>43</v>
      </c>
      <c r="C155" s="12" t="s">
        <v>17</v>
      </c>
      <c r="D155" s="16">
        <v>19854.45</v>
      </c>
      <c r="E155" s="16">
        <v>4765.08</v>
      </c>
      <c r="F155" s="16">
        <v>10382.17</v>
      </c>
      <c r="G155" s="16">
        <v>5444.6</v>
      </c>
      <c r="H155" s="16">
        <f t="shared" si="55"/>
        <v>2051.6275000000001</v>
      </c>
      <c r="I155" s="56">
        <f t="shared" si="61"/>
        <v>865.18083333333334</v>
      </c>
      <c r="J155" s="57">
        <f t="shared" si="66"/>
        <v>43363.10833333333</v>
      </c>
      <c r="K155" s="16">
        <f t="shared" si="62"/>
        <v>3685.8642083333334</v>
      </c>
      <c r="L155" s="16">
        <f t="shared" si="63"/>
        <v>10493.872216666667</v>
      </c>
      <c r="M155" s="16">
        <f t="shared" si="59"/>
        <v>1898.2314623999998</v>
      </c>
      <c r="N155" s="57">
        <f t="shared" si="64"/>
        <v>16077.967887399998</v>
      </c>
      <c r="O155" s="29">
        <f t="shared" si="65"/>
        <v>59441.076220733332</v>
      </c>
      <c r="P155" s="132">
        <f t="shared" si="67"/>
        <v>39.627384147155553</v>
      </c>
      <c r="T155" s="55"/>
    </row>
    <row r="156" spans="1:25">
      <c r="A156" s="12" t="s">
        <v>60</v>
      </c>
      <c r="B156" s="12" t="s">
        <v>43</v>
      </c>
      <c r="C156" s="12" t="s">
        <v>18</v>
      </c>
      <c r="D156" s="16">
        <v>19854.45</v>
      </c>
      <c r="E156" s="16">
        <v>7941.78</v>
      </c>
      <c r="F156" s="16">
        <v>10382.17</v>
      </c>
      <c r="G156" s="16">
        <v>6125.16</v>
      </c>
      <c r="H156" s="16">
        <f t="shared" si="55"/>
        <v>2316.3525</v>
      </c>
      <c r="I156" s="56">
        <f t="shared" si="61"/>
        <v>865.18083333333334</v>
      </c>
      <c r="J156" s="57">
        <f t="shared" si="66"/>
        <v>47485.093333333331</v>
      </c>
      <c r="K156" s="16">
        <f t="shared" si="62"/>
        <v>4036.2329333333332</v>
      </c>
      <c r="L156" s="16">
        <f t="shared" si="63"/>
        <v>11491.392586666667</v>
      </c>
      <c r="M156" s="16">
        <f t="shared" si="59"/>
        <v>2093.7044023999997</v>
      </c>
      <c r="N156" s="57">
        <f t="shared" si="64"/>
        <v>17621.3299224</v>
      </c>
      <c r="O156" s="29">
        <f t="shared" si="65"/>
        <v>65106.423255733331</v>
      </c>
      <c r="P156" s="132">
        <f t="shared" si="67"/>
        <v>43.404282170488884</v>
      </c>
      <c r="T156" s="55"/>
    </row>
    <row r="157" spans="1:25">
      <c r="A157" s="12" t="s">
        <v>60</v>
      </c>
      <c r="B157" s="12" t="s">
        <v>43</v>
      </c>
      <c r="C157" s="12" t="s">
        <v>221</v>
      </c>
      <c r="D157" s="16">
        <v>19854.45</v>
      </c>
      <c r="E157" s="16">
        <v>7941.78</v>
      </c>
      <c r="F157" s="16">
        <v>10382.17</v>
      </c>
      <c r="G157" s="16">
        <v>5444.6</v>
      </c>
      <c r="H157" s="16">
        <f t="shared" si="55"/>
        <v>2316.3525</v>
      </c>
      <c r="I157" s="56">
        <f t="shared" si="61"/>
        <v>865.18083333333334</v>
      </c>
      <c r="J157" s="57">
        <f t="shared" si="66"/>
        <v>46804.533333333333</v>
      </c>
      <c r="K157" s="16">
        <f t="shared" si="62"/>
        <v>3978.3853333333336</v>
      </c>
      <c r="L157" s="16">
        <f t="shared" si="63"/>
        <v>11326.697066666666</v>
      </c>
      <c r="M157" s="16">
        <f t="shared" si="59"/>
        <v>2093.7044023999997</v>
      </c>
      <c r="N157" s="57">
        <f t="shared" si="64"/>
        <v>17398.786802399998</v>
      </c>
      <c r="O157" s="29">
        <f t="shared" si="65"/>
        <v>64203.320135733331</v>
      </c>
      <c r="P157" s="132">
        <f t="shared" si="67"/>
        <v>42.802213423822224</v>
      </c>
      <c r="R157" s="11"/>
      <c r="T157" s="55"/>
    </row>
    <row r="158" spans="1:25">
      <c r="A158" s="12" t="s">
        <v>60</v>
      </c>
      <c r="B158" s="12" t="s">
        <v>43</v>
      </c>
      <c r="C158" s="12" t="s">
        <v>19</v>
      </c>
      <c r="D158" s="16">
        <v>19854.45</v>
      </c>
      <c r="E158" s="56">
        <v>9530.1299999999992</v>
      </c>
      <c r="F158" s="16">
        <v>10382.17</v>
      </c>
      <c r="G158" s="56">
        <v>6805.75</v>
      </c>
      <c r="H158" s="16">
        <f t="shared" si="55"/>
        <v>2448.7150000000001</v>
      </c>
      <c r="I158" s="56">
        <f t="shared" si="61"/>
        <v>865.18083333333334</v>
      </c>
      <c r="J158" s="57">
        <f t="shared" si="66"/>
        <v>49886.395833333328</v>
      </c>
      <c r="K158" s="16">
        <f t="shared" si="62"/>
        <v>4240.3436458333335</v>
      </c>
      <c r="L158" s="16">
        <f t="shared" si="63"/>
        <v>12072.507791666665</v>
      </c>
      <c r="M158" s="16">
        <f t="shared" si="59"/>
        <v>2191.4408724</v>
      </c>
      <c r="N158" s="57">
        <f t="shared" si="64"/>
        <v>18504.292309899996</v>
      </c>
      <c r="O158" s="29">
        <f t="shared" si="65"/>
        <v>68390.688143233332</v>
      </c>
      <c r="P158" s="132">
        <f t="shared" si="67"/>
        <v>45.593792095488887</v>
      </c>
      <c r="T158" s="55"/>
    </row>
    <row r="159" spans="1:25">
      <c r="A159" s="12" t="s">
        <v>60</v>
      </c>
      <c r="B159" s="12" t="s">
        <v>43</v>
      </c>
      <c r="C159" s="12" t="s">
        <v>20</v>
      </c>
      <c r="D159" s="16">
        <v>19854.45</v>
      </c>
      <c r="E159" s="16">
        <v>13056.3</v>
      </c>
      <c r="F159" s="16">
        <v>10382.17</v>
      </c>
      <c r="G159" s="56">
        <v>6805.75</v>
      </c>
      <c r="H159" s="16">
        <f t="shared" si="55"/>
        <v>2742.5625</v>
      </c>
      <c r="I159" s="56">
        <f t="shared" si="61"/>
        <v>865.18083333333334</v>
      </c>
      <c r="J159" s="57">
        <f t="shared" si="66"/>
        <v>53706.41333333333</v>
      </c>
      <c r="K159" s="16">
        <f t="shared" si="62"/>
        <v>4565.0451333333331</v>
      </c>
      <c r="L159" s="16">
        <f t="shared" si="63"/>
        <v>12996.952026666666</v>
      </c>
      <c r="M159" s="16">
        <f t="shared" si="59"/>
        <v>2408.4178664000001</v>
      </c>
      <c r="N159" s="57">
        <f t="shared" si="64"/>
        <v>19970.415026399998</v>
      </c>
      <c r="O159" s="29">
        <f t="shared" si="65"/>
        <v>73676.828359733336</v>
      </c>
      <c r="P159" s="132">
        <f t="shared" si="67"/>
        <v>49.117885573155554</v>
      </c>
      <c r="T159" s="55"/>
    </row>
    <row r="160" spans="1:25">
      <c r="A160" s="12" t="s">
        <v>60</v>
      </c>
      <c r="B160" s="12" t="s">
        <v>43</v>
      </c>
      <c r="C160" s="12" t="s">
        <v>21</v>
      </c>
      <c r="D160" s="16">
        <v>19854.45</v>
      </c>
      <c r="E160" s="16">
        <v>14819.37</v>
      </c>
      <c r="F160" s="16">
        <v>10382.17</v>
      </c>
      <c r="G160" s="56">
        <v>6805.75</v>
      </c>
      <c r="H160" s="16">
        <f t="shared" si="55"/>
        <v>2889.4850000000001</v>
      </c>
      <c r="I160" s="56">
        <f t="shared" si="61"/>
        <v>865.18083333333334</v>
      </c>
      <c r="J160" s="57">
        <f t="shared" si="66"/>
        <v>55616.405833333331</v>
      </c>
      <c r="K160" s="16">
        <f t="shared" si="62"/>
        <v>4727.3944958333332</v>
      </c>
      <c r="L160" s="16">
        <f t="shared" si="63"/>
        <v>13459.170211666666</v>
      </c>
      <c r="M160" s="16">
        <f t="shared" si="59"/>
        <v>2516.9054403999999</v>
      </c>
      <c r="N160" s="57">
        <f t="shared" si="64"/>
        <v>20703.4701479</v>
      </c>
      <c r="O160" s="29">
        <f t="shared" si="65"/>
        <v>76319.87598123333</v>
      </c>
      <c r="P160" s="132">
        <f t="shared" si="67"/>
        <v>50.879917320822223</v>
      </c>
      <c r="T160" s="55"/>
    </row>
    <row r="161" spans="1:20">
      <c r="A161" s="12" t="s">
        <v>60</v>
      </c>
      <c r="B161" s="12" t="s">
        <v>43</v>
      </c>
      <c r="C161" s="12" t="s">
        <v>45</v>
      </c>
      <c r="D161" s="16">
        <v>19854.45</v>
      </c>
      <c r="E161" s="16">
        <v>18345.5</v>
      </c>
      <c r="F161" s="16">
        <v>10382.17</v>
      </c>
      <c r="G161" s="56">
        <v>6805.75</v>
      </c>
      <c r="H161" s="16">
        <f t="shared" si="55"/>
        <v>3183.3291666666669</v>
      </c>
      <c r="I161" s="56">
        <f t="shared" si="61"/>
        <v>865.18083333333334</v>
      </c>
      <c r="J161" s="57">
        <f>D161+E161+F161+G161+H161+I161</f>
        <v>59436.38</v>
      </c>
      <c r="K161" s="16">
        <f t="shared" si="62"/>
        <v>5052.0923000000003</v>
      </c>
      <c r="L161" s="16">
        <f>(J161/100*24.2)</f>
        <v>14383.603959999999</v>
      </c>
      <c r="M161" s="16">
        <f t="shared" si="59"/>
        <v>2733.879973066666</v>
      </c>
      <c r="N161" s="57">
        <f t="shared" si="64"/>
        <v>22169.576233066662</v>
      </c>
      <c r="O161" s="29">
        <f t="shared" si="65"/>
        <v>81605.956233066652</v>
      </c>
      <c r="P161" s="132">
        <f t="shared" si="67"/>
        <v>54.403970822044435</v>
      </c>
      <c r="Q161" s="11"/>
      <c r="T161" s="55"/>
    </row>
    <row r="162" spans="1:20">
      <c r="A162" s="12" t="s">
        <v>60</v>
      </c>
      <c r="B162" s="12" t="s">
        <v>43</v>
      </c>
      <c r="C162" s="12" t="s">
        <v>23</v>
      </c>
      <c r="D162" s="16">
        <v>19854.45</v>
      </c>
      <c r="E162" s="16">
        <v>20108.599999999999</v>
      </c>
      <c r="F162" s="16">
        <v>10382.17</v>
      </c>
      <c r="G162" s="56">
        <v>6805.75</v>
      </c>
      <c r="H162" s="16">
        <f t="shared" si="55"/>
        <v>3330.2541666666666</v>
      </c>
      <c r="I162" s="56">
        <f t="shared" si="61"/>
        <v>865.18083333333334</v>
      </c>
      <c r="J162" s="57">
        <f t="shared" si="66"/>
        <v>61346.404999999999</v>
      </c>
      <c r="K162" s="16">
        <f t="shared" si="62"/>
        <v>5214.4444250000006</v>
      </c>
      <c r="L162" s="16">
        <f t="shared" si="63"/>
        <v>14845.830010000001</v>
      </c>
      <c r="M162" s="16">
        <f t="shared" si="59"/>
        <v>2842.3693930666664</v>
      </c>
      <c r="N162" s="57">
        <f t="shared" si="64"/>
        <v>22902.64382806667</v>
      </c>
      <c r="O162" s="29">
        <f t="shared" si="65"/>
        <v>84249.048828066676</v>
      </c>
      <c r="P162" s="132">
        <f t="shared" si="67"/>
        <v>56.166032552044449</v>
      </c>
      <c r="T162" s="55"/>
    </row>
    <row r="163" spans="1:20">
      <c r="A163" s="12" t="s">
        <v>60</v>
      </c>
      <c r="B163" s="12" t="s">
        <v>43</v>
      </c>
      <c r="C163" s="12" t="s">
        <v>24</v>
      </c>
      <c r="D163" s="16">
        <v>19854.45</v>
      </c>
      <c r="E163" s="16">
        <v>23634.74</v>
      </c>
      <c r="F163" s="16">
        <v>10382.17</v>
      </c>
      <c r="G163" s="56">
        <v>6805.75</v>
      </c>
      <c r="H163" s="16">
        <f t="shared" si="55"/>
        <v>3624.0991666666669</v>
      </c>
      <c r="I163" s="56">
        <f t="shared" si="61"/>
        <v>865.18083333333334</v>
      </c>
      <c r="J163" s="57">
        <f t="shared" si="66"/>
        <v>65166.39</v>
      </c>
      <c r="K163" s="16">
        <f t="shared" si="62"/>
        <v>5539.1431500000008</v>
      </c>
      <c r="L163" s="16">
        <f t="shared" si="63"/>
        <v>15770.266379999999</v>
      </c>
      <c r="M163" s="16">
        <f t="shared" si="59"/>
        <v>3059.3445410666668</v>
      </c>
      <c r="N163" s="57">
        <f t="shared" si="64"/>
        <v>24368.754071066669</v>
      </c>
      <c r="O163" s="29">
        <f t="shared" si="65"/>
        <v>89535.144071066665</v>
      </c>
      <c r="P163" s="132">
        <f t="shared" si="67"/>
        <v>59.690096047377779</v>
      </c>
      <c r="T163" s="55"/>
    </row>
    <row r="164" spans="1:20">
      <c r="A164" s="12" t="s">
        <v>60</v>
      </c>
      <c r="B164" s="12" t="s">
        <v>43</v>
      </c>
      <c r="C164" s="12" t="s">
        <v>25</v>
      </c>
      <c r="D164" s="16">
        <v>19854.45</v>
      </c>
      <c r="E164" s="16">
        <v>24721.98</v>
      </c>
      <c r="F164" s="16">
        <v>10382.17</v>
      </c>
      <c r="G164" s="56">
        <v>6805.75</v>
      </c>
      <c r="H164" s="16">
        <f t="shared" si="55"/>
        <v>3714.7025000000003</v>
      </c>
      <c r="I164" s="56">
        <f t="shared" si="61"/>
        <v>865.18083333333334</v>
      </c>
      <c r="J164" s="57">
        <f t="shared" si="66"/>
        <v>66344.233333333337</v>
      </c>
      <c r="K164" s="16">
        <f t="shared" si="62"/>
        <v>5639.2598333333344</v>
      </c>
      <c r="L164" s="16">
        <f t="shared" si="63"/>
        <v>16055.304466666668</v>
      </c>
      <c r="M164" s="16">
        <f t="shared" si="59"/>
        <v>3126.2460423999996</v>
      </c>
      <c r="N164" s="57">
        <f t="shared" si="64"/>
        <v>24820.8103424</v>
      </c>
      <c r="O164" s="29">
        <f t="shared" si="65"/>
        <v>91165.043675733337</v>
      </c>
      <c r="P164" s="132">
        <f t="shared" si="67"/>
        <v>60.776695783822227</v>
      </c>
      <c r="T164" s="55"/>
    </row>
    <row r="165" spans="1:20">
      <c r="A165" s="12" t="s">
        <v>60</v>
      </c>
      <c r="B165" s="12" t="s">
        <v>43</v>
      </c>
      <c r="C165" s="12" t="s">
        <v>26</v>
      </c>
      <c r="D165" s="16">
        <v>19854.45</v>
      </c>
      <c r="E165" s="16">
        <v>26896.44</v>
      </c>
      <c r="F165" s="16">
        <v>10382.17</v>
      </c>
      <c r="G165" s="56">
        <v>6805.75</v>
      </c>
      <c r="H165" s="16">
        <f t="shared" si="55"/>
        <v>3895.9075000000003</v>
      </c>
      <c r="I165" s="56">
        <f t="shared" si="61"/>
        <v>865.18083333333334</v>
      </c>
      <c r="J165" s="57">
        <f t="shared" si="66"/>
        <v>68699.898333333331</v>
      </c>
      <c r="K165" s="16">
        <f t="shared" si="62"/>
        <v>5839.4913583333337</v>
      </c>
      <c r="L165" s="16">
        <f t="shared" si="63"/>
        <v>16625.375396666666</v>
      </c>
      <c r="M165" s="16">
        <f t="shared" si="59"/>
        <v>3260.0478143999999</v>
      </c>
      <c r="N165" s="57">
        <f t="shared" si="64"/>
        <v>25724.9145694</v>
      </c>
      <c r="O165" s="29">
        <f t="shared" si="65"/>
        <v>94424.812902733334</v>
      </c>
      <c r="P165" s="132">
        <f t="shared" si="67"/>
        <v>62.949875268488888</v>
      </c>
      <c r="T165" s="55"/>
    </row>
    <row r="166" spans="1:20">
      <c r="A166" s="12" t="s">
        <v>60</v>
      </c>
      <c r="B166" s="12" t="s">
        <v>43</v>
      </c>
      <c r="C166" s="12" t="s">
        <v>27</v>
      </c>
      <c r="D166" s="16">
        <v>19854.45</v>
      </c>
      <c r="E166" s="16">
        <v>27983.67</v>
      </c>
      <c r="F166" s="16">
        <v>10382.17</v>
      </c>
      <c r="G166" s="56">
        <v>6805.75</v>
      </c>
      <c r="H166" s="16">
        <f t="shared" si="55"/>
        <v>3986.51</v>
      </c>
      <c r="I166" s="56">
        <f t="shared" si="61"/>
        <v>865.18083333333334</v>
      </c>
      <c r="J166" s="57">
        <f t="shared" si="66"/>
        <v>69877.73083333332</v>
      </c>
      <c r="K166" s="16">
        <f t="shared" si="62"/>
        <v>5939.6071208333324</v>
      </c>
      <c r="L166" s="16">
        <f t="shared" si="63"/>
        <v>16910.410861666664</v>
      </c>
      <c r="M166" s="16">
        <f t="shared" si="59"/>
        <v>3326.9487003999998</v>
      </c>
      <c r="N166" s="57">
        <f t="shared" si="64"/>
        <v>26176.966682899994</v>
      </c>
      <c r="O166" s="29">
        <f t="shared" si="65"/>
        <v>96054.697516233311</v>
      </c>
      <c r="P166" s="132">
        <f t="shared" si="67"/>
        <v>64.036465010822212</v>
      </c>
      <c r="T166" s="55"/>
    </row>
    <row r="167" spans="1:20">
      <c r="A167" s="12" t="s">
        <v>60</v>
      </c>
      <c r="B167" s="12" t="s">
        <v>43</v>
      </c>
      <c r="C167" s="12" t="s">
        <v>28</v>
      </c>
      <c r="D167" s="16">
        <v>19854.45</v>
      </c>
      <c r="E167" s="16">
        <v>30158.16</v>
      </c>
      <c r="F167" s="16">
        <v>10382.17</v>
      </c>
      <c r="G167" s="56">
        <v>6805.75</v>
      </c>
      <c r="H167" s="16">
        <f t="shared" si="55"/>
        <v>4167.7174999999997</v>
      </c>
      <c r="I167" s="56">
        <f t="shared" si="61"/>
        <v>865.18083333333334</v>
      </c>
      <c r="J167" s="57">
        <f t="shared" si="66"/>
        <v>72233.42833333333</v>
      </c>
      <c r="K167" s="16">
        <f t="shared" si="62"/>
        <v>6139.8414083333337</v>
      </c>
      <c r="L167" s="16">
        <f t="shared" si="63"/>
        <v>17480.489656666665</v>
      </c>
      <c r="M167" s="16">
        <f t="shared" si="59"/>
        <v>3460.7523184000001</v>
      </c>
      <c r="N167" s="57">
        <f t="shared" si="64"/>
        <v>27081.0833834</v>
      </c>
      <c r="O167" s="29">
        <f t="shared" si="65"/>
        <v>99314.511716733337</v>
      </c>
      <c r="P167" s="132">
        <f t="shared" si="67"/>
        <v>66.209674477822219</v>
      </c>
      <c r="T167" s="55"/>
    </row>
    <row r="168" spans="1:20">
      <c r="A168" s="12" t="s">
        <v>60</v>
      </c>
      <c r="B168" s="12" t="s">
        <v>43</v>
      </c>
      <c r="C168" s="12" t="s">
        <v>51</v>
      </c>
      <c r="D168" s="16">
        <v>19854.45</v>
      </c>
      <c r="E168" s="16">
        <v>1588.36</v>
      </c>
      <c r="F168" s="16">
        <v>10382.17</v>
      </c>
      <c r="G168" s="16">
        <v>4764.0200000000004</v>
      </c>
      <c r="H168" s="16">
        <v>1733.2166666666667</v>
      </c>
      <c r="I168" s="56">
        <v>839.1875</v>
      </c>
      <c r="J168" s="57">
        <v>38062.144166666665</v>
      </c>
      <c r="K168" s="16">
        <v>3235.2822541666669</v>
      </c>
      <c r="L168" s="16">
        <v>9211.0388883333326</v>
      </c>
      <c r="M168" s="16">
        <v>1651.6008166666663</v>
      </c>
      <c r="N168" s="57">
        <v>14097.921959166666</v>
      </c>
      <c r="O168" s="29">
        <v>52160.066125833328</v>
      </c>
      <c r="P168" s="132">
        <f t="shared" si="67"/>
        <v>34.773377417222221</v>
      </c>
      <c r="T168" s="55"/>
    </row>
    <row r="169" spans="1:20">
      <c r="A169" s="12" t="s">
        <v>60</v>
      </c>
      <c r="B169" s="12" t="s">
        <v>43</v>
      </c>
      <c r="C169" s="12" t="s">
        <v>52</v>
      </c>
      <c r="D169" s="16">
        <v>19854.45</v>
      </c>
      <c r="E169" s="16">
        <v>6353.43</v>
      </c>
      <c r="F169" s="16">
        <v>10382.17</v>
      </c>
      <c r="G169" s="16">
        <v>5444.6</v>
      </c>
      <c r="H169" s="16">
        <v>2118.3758333333335</v>
      </c>
      <c r="I169" s="56">
        <v>839.1875</v>
      </c>
      <c r="J169" s="57">
        <v>43729.343333333331</v>
      </c>
      <c r="K169" s="16">
        <v>3716.9941833333332</v>
      </c>
      <c r="L169" s="16">
        <v>10582.501086666665</v>
      </c>
      <c r="M169" s="16">
        <v>1936.0023453333331</v>
      </c>
      <c r="N169" s="57">
        <v>16235.497615333332</v>
      </c>
      <c r="O169" s="29">
        <v>59964.840948666664</v>
      </c>
      <c r="P169" s="132">
        <f t="shared" si="67"/>
        <v>39.976560632444446</v>
      </c>
      <c r="T169" s="55"/>
    </row>
    <row r="170" spans="1:20">
      <c r="A170" s="12" t="s">
        <v>60</v>
      </c>
      <c r="B170" s="12" t="s">
        <v>43</v>
      </c>
      <c r="C170" s="12" t="s">
        <v>53</v>
      </c>
      <c r="D170" s="16">
        <v>19854.45</v>
      </c>
      <c r="E170" s="16">
        <v>11293.22</v>
      </c>
      <c r="F170" s="16">
        <v>10382.17</v>
      </c>
      <c r="G170" s="56">
        <v>6805.75</v>
      </c>
      <c r="H170" s="16">
        <v>2517.6574999999998</v>
      </c>
      <c r="I170" s="56">
        <v>839.1875</v>
      </c>
      <c r="J170" s="57">
        <v>50240.264999999999</v>
      </c>
      <c r="K170" s="16">
        <v>4270.422525</v>
      </c>
      <c r="L170" s="16">
        <v>12158.144129999999</v>
      </c>
      <c r="M170" s="16">
        <v>2230.8319279999996</v>
      </c>
      <c r="N170" s="57">
        <v>18659.398582999998</v>
      </c>
      <c r="O170" s="29">
        <v>68899.663583000001</v>
      </c>
      <c r="P170" s="132">
        <f t="shared" si="67"/>
        <v>45.933109055333333</v>
      </c>
      <c r="T170" s="55"/>
    </row>
    <row r="171" spans="1:20">
      <c r="A171" s="12" t="s">
        <v>60</v>
      </c>
      <c r="B171" s="12" t="s">
        <v>43</v>
      </c>
      <c r="C171" s="12" t="s">
        <v>54</v>
      </c>
      <c r="D171" s="16">
        <v>19854.45</v>
      </c>
      <c r="E171" s="16">
        <v>16582.46</v>
      </c>
      <c r="F171" s="16">
        <v>10382.17</v>
      </c>
      <c r="G171" s="56">
        <v>6805.75</v>
      </c>
      <c r="H171" s="16">
        <v>2945.1849999999999</v>
      </c>
      <c r="I171" s="56">
        <v>839.1875</v>
      </c>
      <c r="J171" s="57">
        <v>55798.122499999998</v>
      </c>
      <c r="K171" s="16">
        <v>4742.8404124999997</v>
      </c>
      <c r="L171" s="16">
        <v>13503.145644999999</v>
      </c>
      <c r="M171" s="16">
        <v>2546.5182339999997</v>
      </c>
      <c r="N171" s="57">
        <v>20792.504291499998</v>
      </c>
      <c r="O171" s="29">
        <v>76590.626791499992</v>
      </c>
      <c r="P171" s="132">
        <f t="shared" si="67"/>
        <v>51.060417860999998</v>
      </c>
      <c r="T171" s="55"/>
    </row>
    <row r="172" spans="1:20">
      <c r="A172" s="12" t="s">
        <v>60</v>
      </c>
      <c r="B172" s="12" t="s">
        <v>43</v>
      </c>
      <c r="C172" s="12" t="s">
        <v>55</v>
      </c>
      <c r="D172" s="16">
        <v>19854.45</v>
      </c>
      <c r="E172" s="16">
        <v>21871.67</v>
      </c>
      <c r="F172" s="16">
        <v>10382.17</v>
      </c>
      <c r="G172" s="56">
        <v>6805.75</v>
      </c>
      <c r="H172" s="16">
        <v>3372.7108333333335</v>
      </c>
      <c r="I172" s="56">
        <v>839.1875</v>
      </c>
      <c r="J172" s="57">
        <v>61355.958333333328</v>
      </c>
      <c r="K172" s="16">
        <v>5215.2564583333333</v>
      </c>
      <c r="L172" s="16">
        <v>14848.141916666666</v>
      </c>
      <c r="M172" s="16">
        <v>2862.2033093333334</v>
      </c>
      <c r="N172" s="57">
        <v>22925.601684333331</v>
      </c>
      <c r="O172" s="29">
        <v>84281.560017666663</v>
      </c>
      <c r="P172" s="132">
        <f t="shared" si="67"/>
        <v>56.187706678444442</v>
      </c>
      <c r="T172" s="55"/>
    </row>
    <row r="173" spans="1:20">
      <c r="A173" s="12" t="s">
        <v>60</v>
      </c>
      <c r="B173" s="12" t="s">
        <v>43</v>
      </c>
      <c r="C173" s="12" t="s">
        <v>56</v>
      </c>
      <c r="D173" s="16">
        <v>19854.45</v>
      </c>
      <c r="E173" s="16">
        <v>25809.21</v>
      </c>
      <c r="F173" s="16">
        <v>10382.17</v>
      </c>
      <c r="G173" s="56">
        <v>6805.75</v>
      </c>
      <c r="H173" s="16">
        <v>3690.9808333333335</v>
      </c>
      <c r="I173" s="56">
        <v>839.1875</v>
      </c>
      <c r="J173" s="57">
        <v>65493.468333333338</v>
      </c>
      <c r="K173" s="16">
        <v>5566.9448083333345</v>
      </c>
      <c r="L173" s="16">
        <v>15849.419336666668</v>
      </c>
      <c r="M173" s="16">
        <v>3097.2138773333336</v>
      </c>
      <c r="N173" s="57">
        <v>24513.578022333335</v>
      </c>
      <c r="O173" s="29">
        <v>90007.04635566668</v>
      </c>
      <c r="P173" s="132">
        <f t="shared" si="67"/>
        <v>60.004697570444456</v>
      </c>
      <c r="T173" s="55"/>
    </row>
    <row r="174" spans="1:20">
      <c r="A174" s="12" t="s">
        <v>60</v>
      </c>
      <c r="B174" s="12" t="s">
        <v>43</v>
      </c>
      <c r="C174" s="12" t="s">
        <v>57</v>
      </c>
      <c r="D174" s="16">
        <v>19854.45</v>
      </c>
      <c r="E174" s="16">
        <v>29070.92</v>
      </c>
      <c r="F174" s="16">
        <v>10382.17</v>
      </c>
      <c r="G174" s="56">
        <v>6805.75</v>
      </c>
      <c r="H174" s="16">
        <v>3954.6233333333334</v>
      </c>
      <c r="I174" s="56">
        <v>839.1875</v>
      </c>
      <c r="J174" s="57">
        <v>68920.820833333331</v>
      </c>
      <c r="K174" s="16">
        <v>5858.2697708333335</v>
      </c>
      <c r="L174" s="16">
        <v>16678.838641666665</v>
      </c>
      <c r="M174" s="16">
        <v>3291.8874993333334</v>
      </c>
      <c r="N174" s="57">
        <v>25828.995911833332</v>
      </c>
      <c r="O174" s="29">
        <v>94749.816745166667</v>
      </c>
      <c r="P174" s="132">
        <f t="shared" si="67"/>
        <v>63.166544496777774</v>
      </c>
      <c r="T174" s="55"/>
    </row>
    <row r="175" spans="1:20">
      <c r="A175" s="12" t="s">
        <v>60</v>
      </c>
      <c r="B175" s="12" t="s">
        <v>43</v>
      </c>
      <c r="C175" s="12" t="s">
        <v>36</v>
      </c>
      <c r="D175" s="16">
        <v>19854.45</v>
      </c>
      <c r="E175" s="16">
        <v>1588.36</v>
      </c>
      <c r="F175" s="16">
        <v>10382.17</v>
      </c>
      <c r="G175" s="16">
        <v>4764.0200000000004</v>
      </c>
      <c r="H175" s="16">
        <v>1733.2166666666667</v>
      </c>
      <c r="I175" s="56">
        <v>839.1875</v>
      </c>
      <c r="J175" s="57">
        <v>38062.144166666665</v>
      </c>
      <c r="K175" s="16">
        <v>3235.2822541666669</v>
      </c>
      <c r="L175" s="16">
        <v>9211.0388883333326</v>
      </c>
      <c r="M175" s="16">
        <v>1651.6008166666663</v>
      </c>
      <c r="N175" s="57">
        <v>14097.921959166666</v>
      </c>
      <c r="O175" s="29">
        <v>52160.066125833328</v>
      </c>
      <c r="P175" s="132">
        <f t="shared" si="67"/>
        <v>34.773377417222221</v>
      </c>
      <c r="T175" s="55"/>
    </row>
    <row r="176" spans="1:20">
      <c r="A176" s="12" t="s">
        <v>60</v>
      </c>
      <c r="B176" s="12" t="s">
        <v>43</v>
      </c>
      <c r="C176" s="12" t="s">
        <v>37</v>
      </c>
      <c r="D176" s="16">
        <v>19854.45</v>
      </c>
      <c r="E176" s="16">
        <v>6353.43</v>
      </c>
      <c r="F176" s="16">
        <v>10382.17</v>
      </c>
      <c r="G176" s="16">
        <v>5444.6</v>
      </c>
      <c r="H176" s="16">
        <v>2118.3758333333335</v>
      </c>
      <c r="I176" s="56">
        <v>839.1875</v>
      </c>
      <c r="J176" s="57">
        <v>43729.343333333331</v>
      </c>
      <c r="K176" s="16">
        <v>3716.9941833333332</v>
      </c>
      <c r="L176" s="16">
        <v>10582.501086666665</v>
      </c>
      <c r="M176" s="16">
        <v>1936.0023453333331</v>
      </c>
      <c r="N176" s="57">
        <v>16235.497615333332</v>
      </c>
      <c r="O176" s="29">
        <v>59964.840948666664</v>
      </c>
      <c r="P176" s="132">
        <f t="shared" si="67"/>
        <v>39.976560632444446</v>
      </c>
      <c r="T176" s="55"/>
    </row>
    <row r="177" spans="1:20">
      <c r="A177" s="12" t="s">
        <v>60</v>
      </c>
      <c r="B177" s="12" t="s">
        <v>43</v>
      </c>
      <c r="C177" s="12" t="s">
        <v>38</v>
      </c>
      <c r="D177" s="16">
        <v>19854.45</v>
      </c>
      <c r="E177" s="16">
        <v>11293.22</v>
      </c>
      <c r="F177" s="16">
        <v>10382.17</v>
      </c>
      <c r="G177" s="56">
        <v>6805.75</v>
      </c>
      <c r="H177" s="16">
        <v>2517.6574999999998</v>
      </c>
      <c r="I177" s="56">
        <v>839.1875</v>
      </c>
      <c r="J177" s="57">
        <v>50240.264999999999</v>
      </c>
      <c r="K177" s="16">
        <v>4270.422525</v>
      </c>
      <c r="L177" s="16">
        <v>12158.144129999999</v>
      </c>
      <c r="M177" s="16">
        <v>2230.8319279999996</v>
      </c>
      <c r="N177" s="57">
        <v>18659.398582999998</v>
      </c>
      <c r="O177" s="29">
        <v>68899.663583000001</v>
      </c>
      <c r="P177" s="132">
        <f t="shared" si="67"/>
        <v>45.933109055333333</v>
      </c>
      <c r="T177" s="55"/>
    </row>
    <row r="178" spans="1:20">
      <c r="A178" s="12" t="s">
        <v>60</v>
      </c>
      <c r="B178" s="12" t="s">
        <v>43</v>
      </c>
      <c r="C178" s="12" t="s">
        <v>39</v>
      </c>
      <c r="D178" s="16">
        <v>19854.45</v>
      </c>
      <c r="E178" s="16">
        <v>16582.46</v>
      </c>
      <c r="F178" s="16">
        <v>10382.17</v>
      </c>
      <c r="G178" s="56">
        <v>6805.75</v>
      </c>
      <c r="H178" s="16">
        <v>2945.1849999999999</v>
      </c>
      <c r="I178" s="56">
        <v>839.1875</v>
      </c>
      <c r="J178" s="57">
        <v>55798.122499999998</v>
      </c>
      <c r="K178" s="16">
        <v>4742.8404124999997</v>
      </c>
      <c r="L178" s="16">
        <v>13503.145644999999</v>
      </c>
      <c r="M178" s="16">
        <v>2546.5182339999997</v>
      </c>
      <c r="N178" s="57">
        <v>20792.504291499998</v>
      </c>
      <c r="O178" s="29">
        <v>76590.626791499992</v>
      </c>
      <c r="P178" s="132">
        <f t="shared" si="67"/>
        <v>51.060417860999998</v>
      </c>
      <c r="T178" s="55"/>
    </row>
    <row r="179" spans="1:20">
      <c r="A179" s="12" t="s">
        <v>60</v>
      </c>
      <c r="B179" s="12" t="s">
        <v>43</v>
      </c>
      <c r="C179" s="12" t="s">
        <v>40</v>
      </c>
      <c r="D179" s="16">
        <v>19854.45</v>
      </c>
      <c r="E179" s="16">
        <v>21871.67</v>
      </c>
      <c r="F179" s="16">
        <v>10382.17</v>
      </c>
      <c r="G179" s="56">
        <v>6805.75</v>
      </c>
      <c r="H179" s="16">
        <v>3372.7108333333335</v>
      </c>
      <c r="I179" s="56">
        <v>839.1875</v>
      </c>
      <c r="J179" s="57">
        <v>61355.958333333328</v>
      </c>
      <c r="K179" s="16">
        <v>5215.2564583333333</v>
      </c>
      <c r="L179" s="16">
        <v>14848.141916666666</v>
      </c>
      <c r="M179" s="16">
        <v>2862.2033093333334</v>
      </c>
      <c r="N179" s="57">
        <v>22925.601684333331</v>
      </c>
      <c r="O179" s="29">
        <v>84281.560017666663</v>
      </c>
      <c r="P179" s="132">
        <f t="shared" si="67"/>
        <v>56.187706678444442</v>
      </c>
      <c r="T179" s="55"/>
    </row>
    <row r="180" spans="1:20">
      <c r="A180" s="12" t="s">
        <v>60</v>
      </c>
      <c r="B180" s="12" t="s">
        <v>43</v>
      </c>
      <c r="C180" s="12" t="s">
        <v>41</v>
      </c>
      <c r="D180" s="16">
        <v>19854.45</v>
      </c>
      <c r="E180" s="16">
        <v>25809.21</v>
      </c>
      <c r="F180" s="16">
        <v>10382.17</v>
      </c>
      <c r="G180" s="56">
        <v>6805.75</v>
      </c>
      <c r="H180" s="16">
        <v>3690.9808333333335</v>
      </c>
      <c r="I180" s="56">
        <v>839.1875</v>
      </c>
      <c r="J180" s="57">
        <v>65493.468333333338</v>
      </c>
      <c r="K180" s="16">
        <v>5566.9448083333345</v>
      </c>
      <c r="L180" s="16">
        <v>15849.419336666668</v>
      </c>
      <c r="M180" s="16">
        <v>3097.2138773333336</v>
      </c>
      <c r="N180" s="57">
        <v>24513.578022333335</v>
      </c>
      <c r="O180" s="29">
        <v>90007.04635566668</v>
      </c>
      <c r="P180" s="132">
        <f t="shared" si="67"/>
        <v>60.004697570444456</v>
      </c>
      <c r="T180" s="55"/>
    </row>
    <row r="181" spans="1:20">
      <c r="A181" s="12" t="s">
        <v>60</v>
      </c>
      <c r="B181" s="12" t="s">
        <v>43</v>
      </c>
      <c r="C181" s="12" t="s">
        <v>42</v>
      </c>
      <c r="D181" s="16">
        <v>19854.45</v>
      </c>
      <c r="E181" s="16">
        <v>29070.92</v>
      </c>
      <c r="F181" s="16">
        <v>10382.17</v>
      </c>
      <c r="G181" s="56">
        <v>6805.75</v>
      </c>
      <c r="H181" s="16">
        <v>3954.6233333333334</v>
      </c>
      <c r="I181" s="56">
        <v>839.1875</v>
      </c>
      <c r="J181" s="57">
        <v>68920.820833333331</v>
      </c>
      <c r="K181" s="16">
        <v>5858.2697708333335</v>
      </c>
      <c r="L181" s="16">
        <v>16678.838641666665</v>
      </c>
      <c r="M181" s="16">
        <v>2198.0353713333334</v>
      </c>
      <c r="N181" s="57">
        <v>24735.14378383333</v>
      </c>
      <c r="O181" s="29">
        <v>93655.964617166668</v>
      </c>
      <c r="P181" s="132">
        <f t="shared" si="67"/>
        <v>62.437309744777778</v>
      </c>
      <c r="T181" s="5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EA7AB-5EC5-488A-ADF9-2FEE580E3B8B}">
  <dimension ref="A1:X29"/>
  <sheetViews>
    <sheetView workbookViewId="0"/>
  </sheetViews>
  <sheetFormatPr defaultColWidth="8.7265625" defaultRowHeight="14"/>
  <cols>
    <col min="1" max="1" width="68.54296875" style="62" customWidth="1"/>
    <col min="2" max="2" width="13.1796875" style="134" bestFit="1" customWidth="1"/>
    <col min="3" max="4" width="12" style="134" hidden="1" customWidth="1"/>
    <col min="5" max="7" width="11" style="134" hidden="1" customWidth="1"/>
    <col min="8" max="8" width="22.453125" style="134" hidden="1" customWidth="1"/>
    <col min="9" max="9" width="12" style="134" hidden="1" customWidth="1"/>
    <col min="10" max="11" width="9.453125" style="134" hidden="1" customWidth="1"/>
    <col min="12" max="12" width="11" style="134" hidden="1" customWidth="1"/>
    <col min="13" max="13" width="14.54296875" style="134" hidden="1" customWidth="1"/>
    <col min="14" max="14" width="11" style="134" hidden="1" customWidth="1"/>
    <col min="15" max="15" width="13.453125" style="62" customWidth="1"/>
    <col min="16" max="16384" width="8.7265625" style="62"/>
  </cols>
  <sheetData>
    <row r="1" spans="1:24" s="98" customFormat="1" ht="18">
      <c r="A1" s="97" t="s">
        <v>281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24" s="109" customForma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24">
      <c r="P3" s="18" t="s">
        <v>259</v>
      </c>
    </row>
    <row r="4" spans="1:24">
      <c r="P4" s="17" t="s">
        <v>260</v>
      </c>
    </row>
    <row r="5" spans="1:24" s="138" customFormat="1" ht="42">
      <c r="A5" s="21" t="s">
        <v>62</v>
      </c>
      <c r="B5" s="44" t="s">
        <v>3</v>
      </c>
      <c r="C5" s="136" t="s">
        <v>4</v>
      </c>
      <c r="D5" s="136" t="s">
        <v>6</v>
      </c>
      <c r="E5" s="136" t="s">
        <v>234</v>
      </c>
      <c r="F5" s="136" t="s">
        <v>8</v>
      </c>
      <c r="G5" s="136" t="s">
        <v>121</v>
      </c>
      <c r="H5" s="137" t="s">
        <v>175</v>
      </c>
      <c r="I5" s="136" t="s">
        <v>176</v>
      </c>
      <c r="J5" s="136" t="s">
        <v>235</v>
      </c>
      <c r="K5" s="136" t="s">
        <v>236</v>
      </c>
      <c r="L5" s="136" t="s">
        <v>177</v>
      </c>
      <c r="M5" s="136" t="s">
        <v>178</v>
      </c>
      <c r="N5" s="136" t="s">
        <v>10</v>
      </c>
      <c r="O5" s="23" t="s">
        <v>257</v>
      </c>
    </row>
    <row r="6" spans="1:24">
      <c r="A6" s="140" t="s">
        <v>237</v>
      </c>
      <c r="B6" s="29">
        <f>H6+N6+M6</f>
        <v>37799.530070293338</v>
      </c>
      <c r="C6" s="15">
        <v>14559.99</v>
      </c>
      <c r="D6" s="15">
        <v>10110.700000000001</v>
      </c>
      <c r="E6" s="15"/>
      <c r="F6" s="15">
        <f t="shared" ref="F6:G14" si="0">C6/12</f>
        <v>1213.3325</v>
      </c>
      <c r="G6" s="15">
        <f t="shared" si="0"/>
        <v>842.55833333333339</v>
      </c>
      <c r="H6" s="141">
        <f t="shared" ref="H6:H14" si="1">SUM(C6:G6)</f>
        <v>26726.580833333337</v>
      </c>
      <c r="I6" s="15">
        <f>H6*0.242</f>
        <v>6467.8325616666671</v>
      </c>
      <c r="J6" s="15">
        <f>I6*0.098</f>
        <v>633.84759104333341</v>
      </c>
      <c r="K6" s="15">
        <f>H6*0.0161</f>
        <v>430.29795141666671</v>
      </c>
      <c r="L6" s="15">
        <f t="shared" ref="L6:L14" si="2">(((C6+F6)*0.8)*0.071)+(((G6+D6)*0.48)*0.071)</f>
        <v>1269.2117619999999</v>
      </c>
      <c r="M6" s="15">
        <f>SUM(I6:L6)</f>
        <v>8801.1898661266678</v>
      </c>
      <c r="N6" s="15">
        <f>H6*0.085</f>
        <v>2271.7593708333338</v>
      </c>
      <c r="O6" s="132">
        <f>B6/750</f>
        <v>50.399373427057782</v>
      </c>
    </row>
    <row r="7" spans="1:24">
      <c r="A7" s="140" t="s">
        <v>238</v>
      </c>
      <c r="B7" s="29">
        <f t="shared" ref="B7:B14" si="3">H7+N7+M7</f>
        <v>51084.539916899994</v>
      </c>
      <c r="C7" s="16">
        <v>19854.45</v>
      </c>
      <c r="D7" s="16">
        <v>10382.17</v>
      </c>
      <c r="E7" s="16">
        <v>4083.45</v>
      </c>
      <c r="F7" s="16">
        <f t="shared" si="0"/>
        <v>1654.5375000000001</v>
      </c>
      <c r="G7" s="16">
        <f t="shared" si="0"/>
        <v>865.18083333333334</v>
      </c>
      <c r="H7" s="141">
        <f t="shared" si="1"/>
        <v>36839.78833333333</v>
      </c>
      <c r="I7" s="16">
        <f t="shared" ref="I7:I14" si="4">H7*0.242</f>
        <v>8915.228776666665</v>
      </c>
      <c r="J7" s="16"/>
      <c r="K7" s="16">
        <f>H7*0.0161</f>
        <v>593.1205921666666</v>
      </c>
      <c r="L7" s="16">
        <f t="shared" si="2"/>
        <v>1605.0202063999996</v>
      </c>
      <c r="M7" s="16">
        <f t="shared" ref="M7:M14" si="5">SUM(I7:L7)</f>
        <v>11113.36957523333</v>
      </c>
      <c r="N7" s="16">
        <f t="shared" ref="N7:N14" si="6">H7*0.085</f>
        <v>3131.3820083333335</v>
      </c>
      <c r="O7" s="132">
        <f>B7/1500</f>
        <v>34.056359944599997</v>
      </c>
    </row>
    <row r="8" spans="1:24" ht="20.149999999999999" customHeight="1">
      <c r="A8" s="139"/>
      <c r="B8" s="143"/>
      <c r="C8" s="51"/>
      <c r="D8" s="52"/>
      <c r="E8" s="52"/>
      <c r="F8" s="52"/>
      <c r="G8" s="53"/>
      <c r="H8" s="54"/>
      <c r="I8" s="54"/>
      <c r="J8" s="54"/>
      <c r="K8" s="54"/>
      <c r="L8" s="54"/>
      <c r="M8" s="54"/>
      <c r="N8" s="54"/>
      <c r="O8" s="133"/>
      <c r="P8" s="58"/>
      <c r="Q8" s="58"/>
      <c r="R8" s="58"/>
      <c r="S8" s="59"/>
      <c r="V8" s="124"/>
      <c r="W8" s="124"/>
      <c r="X8" s="125"/>
    </row>
    <row r="9" spans="1:24">
      <c r="A9" s="140" t="s">
        <v>239</v>
      </c>
      <c r="B9" s="29">
        <f t="shared" si="3"/>
        <v>51084.539916899994</v>
      </c>
      <c r="C9" s="16">
        <v>19854.45</v>
      </c>
      <c r="D9" s="16">
        <v>10382.17</v>
      </c>
      <c r="E9" s="16">
        <v>4083.45</v>
      </c>
      <c r="F9" s="16">
        <f t="shared" si="0"/>
        <v>1654.5375000000001</v>
      </c>
      <c r="G9" s="16">
        <f t="shared" si="0"/>
        <v>865.18083333333334</v>
      </c>
      <c r="H9" s="141">
        <f t="shared" si="1"/>
        <v>36839.78833333333</v>
      </c>
      <c r="I9" s="16">
        <f t="shared" si="4"/>
        <v>8915.228776666665</v>
      </c>
      <c r="J9" s="16"/>
      <c r="K9" s="16">
        <f t="shared" ref="K9:K14" si="7">H9*0.0161</f>
        <v>593.1205921666666</v>
      </c>
      <c r="L9" s="16">
        <f t="shared" si="2"/>
        <v>1605.0202063999996</v>
      </c>
      <c r="M9" s="16">
        <f t="shared" si="5"/>
        <v>11113.36957523333</v>
      </c>
      <c r="N9" s="16">
        <f t="shared" si="6"/>
        <v>3131.3820083333335</v>
      </c>
      <c r="O9" s="132">
        <f>B9/1500</f>
        <v>34.056359944599997</v>
      </c>
    </row>
    <row r="10" spans="1:24">
      <c r="A10" s="140" t="s">
        <v>240</v>
      </c>
      <c r="B10" s="29">
        <f t="shared" si="3"/>
        <v>52617.088581716656</v>
      </c>
      <c r="C10" s="16">
        <v>20450.09</v>
      </c>
      <c r="D10" s="16">
        <v>10693.64</v>
      </c>
      <c r="E10" s="16">
        <v>4205.95</v>
      </c>
      <c r="F10" s="16">
        <f t="shared" si="0"/>
        <v>1704.1741666666667</v>
      </c>
      <c r="G10" s="16">
        <f t="shared" si="0"/>
        <v>891.13666666666666</v>
      </c>
      <c r="H10" s="141">
        <f t="shared" si="1"/>
        <v>37944.99083333333</v>
      </c>
      <c r="I10" s="16">
        <f t="shared" si="4"/>
        <v>9182.6877816666656</v>
      </c>
      <c r="J10" s="16"/>
      <c r="K10" s="16">
        <f t="shared" si="7"/>
        <v>610.91435241666659</v>
      </c>
      <c r="L10" s="16">
        <f t="shared" si="2"/>
        <v>1653.1713934666664</v>
      </c>
      <c r="M10" s="16">
        <f t="shared" si="5"/>
        <v>11446.773527549998</v>
      </c>
      <c r="N10" s="16">
        <f t="shared" si="6"/>
        <v>3225.3242208333331</v>
      </c>
      <c r="O10" s="132">
        <f t="shared" ref="O10:O13" si="8">B10/1500</f>
        <v>35.07805905447777</v>
      </c>
    </row>
    <row r="11" spans="1:24">
      <c r="A11" s="140" t="s">
        <v>241</v>
      </c>
      <c r="B11" s="29">
        <f>H11+N11+M11</f>
        <v>61301.354665949999</v>
      </c>
      <c r="C11" s="16">
        <v>23825.25</v>
      </c>
      <c r="D11" s="16">
        <v>12458.66</v>
      </c>
      <c r="E11" s="16">
        <v>4900.1099999999997</v>
      </c>
      <c r="F11" s="16">
        <f t="shared" si="0"/>
        <v>1985.4375</v>
      </c>
      <c r="G11" s="16">
        <f t="shared" si="0"/>
        <v>1038.2216666666666</v>
      </c>
      <c r="H11" s="141">
        <f t="shared" si="1"/>
        <v>44207.679166666669</v>
      </c>
      <c r="I11" s="16">
        <f t="shared" si="4"/>
        <v>10698.258358333333</v>
      </c>
      <c r="J11" s="16"/>
      <c r="K11" s="16">
        <f t="shared" si="7"/>
        <v>711.74363458333335</v>
      </c>
      <c r="L11" s="16">
        <f t="shared" si="2"/>
        <v>1926.0207772000001</v>
      </c>
      <c r="M11" s="16">
        <f t="shared" si="5"/>
        <v>13336.022770116666</v>
      </c>
      <c r="N11" s="16">
        <f t="shared" si="6"/>
        <v>3757.6527291666671</v>
      </c>
      <c r="O11" s="132">
        <f t="shared" si="8"/>
        <v>40.867569777299998</v>
      </c>
    </row>
    <row r="12" spans="1:24">
      <c r="A12" s="140" t="s">
        <v>242</v>
      </c>
      <c r="B12" s="29">
        <f t="shared" si="3"/>
        <v>63857.227560650004</v>
      </c>
      <c r="C12" s="15">
        <v>24819.09</v>
      </c>
      <c r="D12" s="15">
        <v>12977.72</v>
      </c>
      <c r="E12" s="15">
        <v>5104.3</v>
      </c>
      <c r="F12" s="15">
        <f t="shared" si="0"/>
        <v>2068.2575000000002</v>
      </c>
      <c r="G12" s="15">
        <f t="shared" si="0"/>
        <v>1081.4766666666667</v>
      </c>
      <c r="H12" s="141">
        <f t="shared" si="1"/>
        <v>46050.844166666669</v>
      </c>
      <c r="I12" s="15">
        <f t="shared" si="4"/>
        <v>11144.304288333333</v>
      </c>
      <c r="J12" s="15"/>
      <c r="K12" s="15">
        <f t="shared" si="7"/>
        <v>741.41859108333335</v>
      </c>
      <c r="L12" s="15">
        <f t="shared" si="2"/>
        <v>2006.3387603999997</v>
      </c>
      <c r="M12" s="15">
        <f t="shared" si="5"/>
        <v>13892.061639816666</v>
      </c>
      <c r="N12" s="15">
        <f t="shared" si="6"/>
        <v>3914.3217541666672</v>
      </c>
      <c r="O12" s="132">
        <f t="shared" si="8"/>
        <v>42.571485040433338</v>
      </c>
    </row>
    <row r="13" spans="1:24">
      <c r="A13" s="140" t="s">
        <v>243</v>
      </c>
      <c r="B13" s="29">
        <f t="shared" si="3"/>
        <v>66409.91643289999</v>
      </c>
      <c r="C13" s="15">
        <v>25810.799999999999</v>
      </c>
      <c r="D13" s="15">
        <v>13496.82</v>
      </c>
      <c r="E13" s="15">
        <v>5308.48</v>
      </c>
      <c r="F13" s="15">
        <f t="shared" si="0"/>
        <v>2150.9</v>
      </c>
      <c r="G13" s="15">
        <f t="shared" si="0"/>
        <v>1124.7349999999999</v>
      </c>
      <c r="H13" s="141">
        <f t="shared" si="1"/>
        <v>47891.734999999993</v>
      </c>
      <c r="I13" s="15">
        <f t="shared" si="4"/>
        <v>11589.799869999999</v>
      </c>
      <c r="J13" s="15"/>
      <c r="K13" s="15">
        <f t="shared" si="7"/>
        <v>771.0569334999999</v>
      </c>
      <c r="L13" s="15">
        <f t="shared" si="2"/>
        <v>2086.5271543999997</v>
      </c>
      <c r="M13" s="15">
        <f t="shared" si="5"/>
        <v>14447.383957899998</v>
      </c>
      <c r="N13" s="15">
        <f t="shared" si="6"/>
        <v>4070.7974749999998</v>
      </c>
      <c r="O13" s="132">
        <f t="shared" si="8"/>
        <v>44.273277621933325</v>
      </c>
    </row>
    <row r="14" spans="1:24">
      <c r="A14" s="140" t="s">
        <v>244</v>
      </c>
      <c r="B14" s="29">
        <f t="shared" si="3"/>
        <v>45359.423746346671</v>
      </c>
      <c r="C14" s="15">
        <v>17471.98</v>
      </c>
      <c r="D14" s="15">
        <v>12132.84</v>
      </c>
      <c r="E14" s="15">
        <v>0</v>
      </c>
      <c r="F14" s="15">
        <f t="shared" si="0"/>
        <v>1455.9983333333332</v>
      </c>
      <c r="G14" s="15">
        <f>D14/12</f>
        <v>1011.07</v>
      </c>
      <c r="H14" s="141">
        <f t="shared" si="1"/>
        <v>32071.888333333332</v>
      </c>
      <c r="I14" s="15">
        <f t="shared" si="4"/>
        <v>7761.396976666666</v>
      </c>
      <c r="J14" s="15">
        <f>I14*0.098</f>
        <v>760.61690371333327</v>
      </c>
      <c r="K14" s="15">
        <f t="shared" si="7"/>
        <v>516.35740216666659</v>
      </c>
      <c r="L14" s="15">
        <f t="shared" si="2"/>
        <v>1523.0536221333332</v>
      </c>
      <c r="M14" s="15">
        <f t="shared" si="5"/>
        <v>10561.42490468</v>
      </c>
      <c r="N14" s="15">
        <f t="shared" si="6"/>
        <v>2726.1105083333337</v>
      </c>
      <c r="O14" s="132">
        <f>B14/750</f>
        <v>60.479231661795559</v>
      </c>
    </row>
    <row r="15" spans="1:24">
      <c r="B15" s="142"/>
    </row>
    <row r="16" spans="1:24">
      <c r="B16" s="142"/>
    </row>
    <row r="17" spans="2:6">
      <c r="B17" s="62"/>
      <c r="C17" s="63" t="s">
        <v>253</v>
      </c>
    </row>
    <row r="18" spans="2:6">
      <c r="B18" s="62"/>
      <c r="C18" s="63" t="s">
        <v>249</v>
      </c>
    </row>
    <row r="19" spans="2:6">
      <c r="B19" s="62"/>
      <c r="C19" s="63" t="s">
        <v>250</v>
      </c>
      <c r="E19" s="134">
        <f>B19/12</f>
        <v>0</v>
      </c>
    </row>
    <row r="20" spans="2:6">
      <c r="B20" s="62"/>
      <c r="C20" s="63" t="s">
        <v>254</v>
      </c>
    </row>
    <row r="21" spans="2:6">
      <c r="B21" s="62"/>
      <c r="C21" s="63" t="s">
        <v>251</v>
      </c>
    </row>
    <row r="22" spans="2:6">
      <c r="B22" s="62"/>
      <c r="C22" s="63" t="s">
        <v>255</v>
      </c>
    </row>
    <row r="23" spans="2:6">
      <c r="B23" s="62"/>
      <c r="C23" s="63" t="s">
        <v>252</v>
      </c>
      <c r="E23" s="134">
        <f>B23/12</f>
        <v>0</v>
      </c>
    </row>
    <row r="24" spans="2:6">
      <c r="B24" s="62"/>
      <c r="C24" s="63"/>
    </row>
    <row r="25" spans="2:6">
      <c r="B25" s="62"/>
      <c r="C25" s="63" t="s">
        <v>256</v>
      </c>
      <c r="E25" s="134">
        <f>+ROUND(B19+B21+B23,2)</f>
        <v>0</v>
      </c>
      <c r="F25" s="134">
        <v>156339.18</v>
      </c>
    </row>
    <row r="28" spans="2:6">
      <c r="B28" s="134">
        <f>2*B7</f>
        <v>102169.07983379999</v>
      </c>
    </row>
    <row r="29" spans="2:6">
      <c r="B29" s="134">
        <f>B28*0.01</f>
        <v>1021.6907983379999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PTA t. indeterminato</vt:lpstr>
      <vt:lpstr>PTA t. determinato</vt:lpstr>
      <vt:lpstr>NG</vt:lpstr>
      <vt:lpstr>CEL</vt:lpstr>
      <vt:lpstr>dirigente t.ind-t.det</vt:lpstr>
      <vt:lpstr>Tecnologi</vt:lpstr>
      <vt:lpstr>docenti L. 240</vt:lpstr>
      <vt:lpstr>docenti DPR232</vt:lpstr>
      <vt:lpstr>RD ricercatori 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SISTEMA</dc:creator>
  <cp:lastModifiedBy>ZACCHIA Fiorenza</cp:lastModifiedBy>
  <cp:lastPrinted>2021-10-07T12:16:34Z</cp:lastPrinted>
  <dcterms:created xsi:type="dcterms:W3CDTF">2019-06-17T09:54:58Z</dcterms:created>
  <dcterms:modified xsi:type="dcterms:W3CDTF">2023-10-02T09:10:17Z</dcterms:modified>
</cp:coreProperties>
</file>